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gaspar\Desktop\"/>
    </mc:Choice>
  </mc:AlternateContent>
  <xr:revisionPtr revIDLastSave="0" documentId="8_{46FF7792-7C61-4735-A93D-6CCEBAEADFD1}" xr6:coauthVersionLast="47" xr6:coauthVersionMax="47" xr10:uidLastSave="{00000000-0000-0000-0000-000000000000}"/>
  <bookViews>
    <workbookView xWindow="1905" yWindow="1905" windowWidth="16425" windowHeight="11295" xr2:uid="{AF6AE990-6138-B145-804A-F0FD0979EBAF}"/>
  </bookViews>
  <sheets>
    <sheet name="Sheet1" sheetId="1" r:id="rId1"/>
  </sheets>
  <definedNames>
    <definedName name="solver_adj" localSheetId="0" hidden="1">Sheet1!$D$166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Sheet1!$G$169</definedName>
    <definedName name="solver_lhs2" localSheetId="0" hidden="1">Sheet1!$G$170</definedName>
    <definedName name="solver_lhs3" localSheetId="0" hidden="1">Sheet1!$G$170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opt" localSheetId="0" hidden="1">Sheet1!$G$166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hs1" localSheetId="0" hidden="1">1.5</definedName>
    <definedName name="solver_rhs2" localSheetId="0" hidden="1">0.25</definedName>
    <definedName name="solver_rhs3" localSheetId="0" hidden="1">0.25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1" l="1"/>
  <c r="G169" i="1"/>
  <c r="G168" i="1"/>
  <c r="G167" i="1" s="1"/>
  <c r="D167" i="1"/>
  <c r="G166" i="1" s="1"/>
  <c r="T37" i="1"/>
  <c r="T38" i="1"/>
  <c r="T36" i="1"/>
  <c r="P35" i="1"/>
  <c r="Q35" i="1" s="1"/>
  <c r="R35" i="1"/>
  <c r="S35" i="1"/>
  <c r="T35" i="1"/>
  <c r="O35" i="1"/>
  <c r="E156" i="1"/>
  <c r="F120" i="1"/>
  <c r="C120" i="1"/>
  <c r="F113" i="1"/>
  <c r="G112" i="1" s="1"/>
  <c r="G113" i="1"/>
  <c r="F112" i="1"/>
  <c r="D128" i="1" s="1" a="1"/>
  <c r="D128" i="1" s="1"/>
  <c r="D103" i="1"/>
  <c r="D104" i="1"/>
  <c r="D105" i="1"/>
  <c r="D106" i="1"/>
  <c r="D107" i="1"/>
  <c r="D113" i="1" s="1"/>
  <c r="D102" i="1"/>
  <c r="D112" i="1" s="1"/>
  <c r="D129" i="1" s="1" a="1"/>
  <c r="D129" i="1" s="1"/>
  <c r="G94" i="1"/>
  <c r="G84" i="1"/>
  <c r="E13" i="1"/>
  <c r="E14" i="1"/>
  <c r="F15" i="1"/>
  <c r="E84" i="1"/>
  <c r="O19" i="1"/>
  <c r="O25" i="1"/>
  <c r="O32" i="1"/>
  <c r="I18" i="1"/>
  <c r="J17" i="1" s="1"/>
  <c r="H18" i="1"/>
  <c r="H17" i="1"/>
  <c r="E17" i="1"/>
  <c r="F16" i="1"/>
  <c r="G17" i="1"/>
  <c r="G18" i="1"/>
  <c r="G16" i="1"/>
  <c r="F17" i="1"/>
  <c r="F18" i="1"/>
  <c r="E15" i="1"/>
  <c r="E16" i="1"/>
  <c r="E18" i="1"/>
  <c r="J18" i="1"/>
  <c r="I17" i="1"/>
  <c r="G8" i="1" s="1"/>
  <c r="H16" i="1"/>
  <c r="G7" i="1" s="1"/>
  <c r="G15" i="1"/>
  <c r="G6" i="1" s="1"/>
  <c r="F14" i="1"/>
  <c r="G5" i="1" s="1"/>
  <c r="C14" i="1"/>
  <c r="G139" i="1" s="1"/>
  <c r="C15" i="1"/>
  <c r="G140" i="1" s="1"/>
  <c r="C16" i="1"/>
  <c r="G141" i="1" s="1"/>
  <c r="C17" i="1"/>
  <c r="G142" i="1" s="1"/>
  <c r="C18" i="1"/>
  <c r="G143" i="1" s="1"/>
  <c r="C13" i="1"/>
  <c r="C94" i="1" s="1"/>
  <c r="D96" i="1" s="1"/>
  <c r="D127" i="1" l="1" a="1"/>
  <c r="D127" i="1" s="1"/>
  <c r="C147" i="1" a="1"/>
  <c r="D66" i="1" a="1"/>
  <c r="D66" i="1" s="1"/>
  <c r="D73" i="1" s="1"/>
  <c r="F67" i="1" s="1"/>
  <c r="G138" i="1"/>
  <c r="G99" i="1"/>
  <c r="D99" i="1"/>
  <c r="F117" i="1" a="1"/>
  <c r="F117" i="1" s="1"/>
  <c r="F118" i="1" a="1"/>
  <c r="F118" i="1" s="1"/>
  <c r="F119" i="1" s="1"/>
  <c r="R25" i="1"/>
  <c r="R19" i="1"/>
  <c r="R32" i="1"/>
  <c r="G4" i="1"/>
  <c r="G9" i="1"/>
  <c r="R3" i="1"/>
  <c r="R4" i="1"/>
  <c r="R5" i="1"/>
  <c r="R6" i="1"/>
  <c r="R7" i="1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26" i="1"/>
  <c r="R27" i="1"/>
  <c r="R28" i="1"/>
  <c r="R29" i="1"/>
  <c r="R30" i="1"/>
  <c r="R31" i="1"/>
  <c r="R33" i="1"/>
  <c r="R34" i="1"/>
  <c r="R36" i="1"/>
  <c r="R37" i="1"/>
  <c r="R38" i="1"/>
  <c r="R2" i="1"/>
  <c r="D29" i="1" a="1"/>
  <c r="D29" i="1" s="1"/>
  <c r="D28" i="1" a="1"/>
  <c r="D28" i="1" s="1"/>
  <c r="D35" i="1" s="1" a="1"/>
  <c r="D35" i="1" s="1"/>
  <c r="G35" i="1" s="1" a="1"/>
  <c r="G35" i="1" s="1"/>
  <c r="D30" i="1" a="1"/>
  <c r="D30" i="1" s="1"/>
  <c r="D32" i="1" s="1"/>
  <c r="D131" i="1" l="1"/>
  <c r="F121" i="1"/>
  <c r="C147" i="1"/>
  <c r="G170" i="1"/>
  <c r="E103" i="1"/>
  <c r="E107" i="1"/>
  <c r="E105" i="1"/>
  <c r="E106" i="1"/>
  <c r="E104" i="1"/>
  <c r="E102" i="1"/>
  <c r="F69" i="1"/>
  <c r="F66" i="1"/>
  <c r="F71" i="1"/>
  <c r="F70" i="1"/>
  <c r="F68" i="1"/>
  <c r="G36" i="1" a="1"/>
  <c r="G36" i="1" s="1"/>
  <c r="G37" i="1" s="1"/>
  <c r="E59" i="1" s="1"/>
  <c r="D25" i="1"/>
  <c r="H25" i="1"/>
  <c r="F25" i="1"/>
  <c r="H133" i="1" l="1"/>
  <c r="F133" i="1"/>
  <c r="I66" i="1" a="1"/>
  <c r="I66" i="1" s="1"/>
  <c r="D133" i="1"/>
  <c r="C154" i="1"/>
  <c r="D147" i="1"/>
  <c r="P15" i="1"/>
  <c r="Q15" i="1" s="1"/>
  <c r="P38" i="1"/>
  <c r="Q38" i="1" s="1"/>
  <c r="I67" i="1" a="1"/>
  <c r="I67" i="1" s="1"/>
  <c r="I68" i="1" s="1"/>
  <c r="F73" i="1"/>
  <c r="P6" i="1"/>
  <c r="P16" i="1"/>
  <c r="Q16" i="1" s="1"/>
  <c r="P17" i="1"/>
  <c r="Q17" i="1" s="1"/>
  <c r="P19" i="1"/>
  <c r="Q19" i="1" s="1"/>
  <c r="P11" i="1"/>
  <c r="Q11" i="1" s="1"/>
  <c r="P28" i="1"/>
  <c r="Q28" i="1" s="1"/>
  <c r="P12" i="1"/>
  <c r="Q12" i="1" s="1"/>
  <c r="P29" i="1"/>
  <c r="Q29" i="1" s="1"/>
  <c r="P9" i="1"/>
  <c r="Q9" i="1" s="1"/>
  <c r="P25" i="1"/>
  <c r="Q25" i="1" s="1"/>
  <c r="P36" i="1"/>
  <c r="Q36" i="1" s="1"/>
  <c r="P20" i="1"/>
  <c r="Q20" i="1" s="1"/>
  <c r="P37" i="1"/>
  <c r="Q37" i="1" s="1"/>
  <c r="P30" i="1"/>
  <c r="Q30" i="1" s="1"/>
  <c r="P2" i="1"/>
  <c r="P14" i="1"/>
  <c r="Q14" i="1" s="1"/>
  <c r="P18" i="1"/>
  <c r="Q18" i="1" s="1"/>
  <c r="P31" i="1"/>
  <c r="Q31" i="1" s="1"/>
  <c r="P7" i="1"/>
  <c r="P21" i="1"/>
  <c r="Q21" i="1" s="1"/>
  <c r="P34" i="1"/>
  <c r="Q34" i="1" s="1"/>
  <c r="P10" i="1"/>
  <c r="Q10" i="1" s="1"/>
  <c r="P13" i="1"/>
  <c r="Q13" i="1" s="1"/>
  <c r="P27" i="1"/>
  <c r="Q27" i="1" s="1"/>
  <c r="P3" i="1"/>
  <c r="P32" i="1"/>
  <c r="Q32" i="1" s="1"/>
  <c r="P33" i="1"/>
  <c r="Q33" i="1" s="1"/>
  <c r="P26" i="1"/>
  <c r="Q26" i="1" s="1"/>
  <c r="P24" i="1"/>
  <c r="Q24" i="1" s="1"/>
  <c r="P5" i="1"/>
  <c r="P23" i="1"/>
  <c r="Q23" i="1" s="1"/>
  <c r="P4" i="1"/>
  <c r="P22" i="1"/>
  <c r="Q22" i="1" s="1"/>
  <c r="H27" i="1"/>
  <c r="O8" i="1"/>
  <c r="S4" i="1" l="1"/>
  <c r="S8" i="1"/>
  <c r="S12" i="1"/>
  <c r="S16" i="1"/>
  <c r="S20" i="1"/>
  <c r="S24" i="1"/>
  <c r="S28" i="1"/>
  <c r="S32" i="1"/>
  <c r="S37" i="1"/>
  <c r="S5" i="1"/>
  <c r="S9" i="1"/>
  <c r="S13" i="1"/>
  <c r="S17" i="1"/>
  <c r="S21" i="1"/>
  <c r="S25" i="1"/>
  <c r="S29" i="1"/>
  <c r="S33" i="1"/>
  <c r="S38" i="1"/>
  <c r="S6" i="1"/>
  <c r="S10" i="1"/>
  <c r="S14" i="1"/>
  <c r="S18" i="1"/>
  <c r="S22" i="1"/>
  <c r="S26" i="1"/>
  <c r="S30" i="1"/>
  <c r="S34" i="1"/>
  <c r="S2" i="1"/>
  <c r="S3" i="1"/>
  <c r="S7" i="1"/>
  <c r="S11" i="1"/>
  <c r="S15" i="1"/>
  <c r="S19" i="1"/>
  <c r="S23" i="1"/>
  <c r="S27" i="1"/>
  <c r="S31" i="1"/>
  <c r="S36" i="1"/>
  <c r="I71" i="1"/>
  <c r="D150" i="1"/>
  <c r="D151" i="1"/>
  <c r="D148" i="1"/>
  <c r="D152" i="1"/>
  <c r="D149" i="1"/>
  <c r="P8" i="1"/>
  <c r="Q8" i="1" s="1"/>
  <c r="R8" i="1"/>
  <c r="G149" i="1" l="1" a="1"/>
  <c r="G149" i="1" s="1"/>
  <c r="G150" i="1" s="1"/>
  <c r="K156" i="1" s="1"/>
  <c r="G151" i="1" a="1"/>
  <c r="G151" i="1" s="1"/>
  <c r="D154" i="1"/>
  <c r="G148" i="1" a="1"/>
  <c r="G148" i="1" s="1"/>
  <c r="G153" i="1" l="1"/>
  <c r="G156" i="1" s="1"/>
  <c r="G152" i="1"/>
  <c r="T7" i="1" l="1"/>
  <c r="T11" i="1"/>
  <c r="T15" i="1"/>
  <c r="T23" i="1"/>
  <c r="T27" i="1"/>
  <c r="T31" i="1"/>
  <c r="T12" i="1"/>
  <c r="T16" i="1"/>
  <c r="T20" i="1"/>
  <c r="T24" i="1"/>
  <c r="T28" i="1"/>
  <c r="T9" i="1"/>
  <c r="T13" i="1"/>
  <c r="T17" i="1"/>
  <c r="T21" i="1"/>
  <c r="T29" i="1"/>
  <c r="T33" i="1"/>
  <c r="T10" i="1"/>
  <c r="T14" i="1"/>
  <c r="T18" i="1"/>
  <c r="T22" i="1"/>
  <c r="T26" i="1"/>
  <c r="T30" i="1"/>
  <c r="T34" i="1"/>
  <c r="T19" i="1"/>
  <c r="T32" i="1"/>
  <c r="T25" i="1"/>
  <c r="T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<sst xmlns="http://schemas.openxmlformats.org/spreadsheetml/2006/main" count="142" uniqueCount="97">
  <si>
    <t>Computer Assignment 4</t>
  </si>
  <si>
    <t>Rbar</t>
  </si>
  <si>
    <t>hyperbola</t>
  </si>
  <si>
    <t>EF</t>
  </si>
  <si>
    <t>Telser line</t>
  </si>
  <si>
    <t>beta</t>
  </si>
  <si>
    <t>sigma_ei^2</t>
  </si>
  <si>
    <t>sigma</t>
  </si>
  <si>
    <t>Rbar_M</t>
  </si>
  <si>
    <t>sigma_M</t>
  </si>
  <si>
    <t>MV</t>
  </si>
  <si>
    <t>1.</t>
  </si>
  <si>
    <t>V</t>
  </si>
  <si>
    <t>ones</t>
  </si>
  <si>
    <t>2.</t>
  </si>
  <si>
    <t>(a)</t>
  </si>
  <si>
    <t>The efficient frontier is the upper part of the envelop hyperbola.</t>
  </si>
  <si>
    <t>(b)</t>
  </si>
  <si>
    <t>1 is not efficient.</t>
  </si>
  <si>
    <t>sigma^2_p=</t>
  </si>
  <si>
    <t>Rbar_p^2</t>
  </si>
  <si>
    <t>Rbar_p +</t>
  </si>
  <si>
    <t>2 is not efficient</t>
  </si>
  <si>
    <t>3 is not efficient</t>
  </si>
  <si>
    <t>for Rbar&gt;=</t>
  </si>
  <si>
    <t>4 is not efficient</t>
  </si>
  <si>
    <t>A</t>
  </si>
  <si>
    <t>5 is not efficient</t>
  </si>
  <si>
    <t>B</t>
  </si>
  <si>
    <t>6 is not efficient</t>
  </si>
  <si>
    <t>C</t>
  </si>
  <si>
    <t>den</t>
  </si>
  <si>
    <t>Minimum variance</t>
  </si>
  <si>
    <t>X_MV</t>
  </si>
  <si>
    <t>Rbar_MV</t>
  </si>
  <si>
    <t>sigma^2_MV</t>
  </si>
  <si>
    <t>sigma_MV</t>
  </si>
  <si>
    <t>3.</t>
  </si>
  <si>
    <t>Prob (R_MV&lt;0)= Prob((R_MV -Rbar_MV)/sigma_MV)&lt;(0-Rbar_MV)/sigma_MV)</t>
  </si>
  <si>
    <t>Prob</t>
  </si>
  <si>
    <t>Roy</t>
  </si>
  <si>
    <t>R_L</t>
  </si>
  <si>
    <t>Z</t>
  </si>
  <si>
    <t>X_roy</t>
  </si>
  <si>
    <t>Rbar_roy</t>
  </si>
  <si>
    <t>sigma^2_roy</t>
  </si>
  <si>
    <t>sigma_roy</t>
  </si>
  <si>
    <t>(c  )</t>
  </si>
  <si>
    <t>alpha</t>
  </si>
  <si>
    <t xml:space="preserve">Telser type of restriction </t>
  </si>
  <si>
    <t>Prob(R_p&lt;0)&lt;=0,25</t>
  </si>
  <si>
    <t>Rbar_p=</t>
  </si>
  <si>
    <t>+</t>
  </si>
  <si>
    <t>sigma_p</t>
  </si>
  <si>
    <t>All portfolios above the line are safe enough.</t>
  </si>
  <si>
    <t xml:space="preserve">4. </t>
  </si>
  <si>
    <t>Two-factor CAPM</t>
  </si>
  <si>
    <t>=</t>
  </si>
  <si>
    <t>beta_i</t>
  </si>
  <si>
    <t>X</t>
  </si>
  <si>
    <t>max</t>
  </si>
  <si>
    <t>sigma^2</t>
  </si>
  <si>
    <t>Prob (R_roy&lt;0)</t>
  </si>
  <si>
    <t>Rbar^e_i= Rbar_Z^e+ beta_i (Rbar_M-Rbar_Z^e)</t>
  </si>
  <si>
    <t>asset 1</t>
  </si>
  <si>
    <t>Rbar_Z^e</t>
  </si>
  <si>
    <t>* (0,15 - Rbar_Z^e)</t>
  </si>
  <si>
    <t>Rbar^e_i=</t>
  </si>
  <si>
    <t>CAPM</t>
  </si>
  <si>
    <t>=&gt; in equilibrium</t>
  </si>
  <si>
    <t>=&gt; overpriced</t>
  </si>
  <si>
    <t>=&gt; underpriced</t>
  </si>
  <si>
    <t>Mr. Capm</t>
  </si>
  <si>
    <t>P(R&lt;0)</t>
  </si>
  <si>
    <t>To guarantee efficiency we need to maximize Rbar</t>
  </si>
  <si>
    <t>Alternatively</t>
  </si>
  <si>
    <t>Compute the two-assets hyperbola, and impose the portfolio must belong to the hyperbola.</t>
  </si>
  <si>
    <t>5.</t>
  </si>
  <si>
    <t>R_f=</t>
  </si>
  <si>
    <t>EF: straight line up to T + hyperbola</t>
  </si>
  <si>
    <t>T</t>
  </si>
  <si>
    <t>Rbar - R_f</t>
  </si>
  <si>
    <t>X_T</t>
  </si>
  <si>
    <t>SR</t>
  </si>
  <si>
    <t>line:</t>
  </si>
  <si>
    <t>for</t>
  </si>
  <si>
    <t>sigma_p &lt;=</t>
  </si>
  <si>
    <t>then hyperbola of Question 2</t>
  </si>
  <si>
    <t>No, T does not verify the Telser restriction</t>
  </si>
  <si>
    <t>(c )</t>
  </si>
  <si>
    <t>We are always better of by considering more assets, even if they are overpriced.</t>
  </si>
  <si>
    <t>2 assets hyp</t>
  </si>
  <si>
    <t>EF w/ rf</t>
  </si>
  <si>
    <t>Because it needs to verify the telser rstriction, we know it must be a combination of deposit and T</t>
  </si>
  <si>
    <t>x_T</t>
  </si>
  <si>
    <t>x_f</t>
  </si>
  <si>
    <t>We see the above solution belongs to the hyperbola.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</si>
</sst>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1">
    <xf numFmtId="0" fontId="0" fillId="0" borderId="0" xfId="0"/>
    <xf numFmtId="10" fontId="0" fillId="0" borderId="0" xfId="0" applyNumberFormat="1"/>
    <xf numFmtId="9" fontId="0" fillId="0" borderId="0" xfId="0" applyNumberFormat="1"/>
    <xf numFmtId="0" fontId="4" fillId="0" borderId="0" xfId="0" applyFont="1"/>
    <xf numFmtId="10" fontId="3" fillId="3" borderId="0" xfId="3" applyNumberFormat="1"/>
    <xf numFmtId="0" fontId="3" fillId="3" borderId="0" xfId="3"/>
    <xf numFmtId="9" fontId="3" fillId="3" borderId="0" xfId="3" applyNumberFormat="1"/>
    <xf numFmtId="10" fontId="2" fillId="2" borderId="0" xfId="2" applyNumberFormat="1"/>
    <xf numFmtId="0" fontId="2" fillId="2" borderId="0" xfId="2"/>
    <xf numFmtId="0" fontId="0" fillId="0" borderId="1" xfId="0" applyBorder="1"/>
    <xf numFmtId="0" fontId="0" fillId="0" borderId="2" xfId="0" applyBorder="1"/>
    <xf numFmtId="0" fontId="0" fillId="0" borderId="3" xfId="0" applyBorder="1"/>
    <xf numFmtId="10" fontId="0" fillId="0" borderId="0" xfId="1" applyNumberFormat="1" applyFont="1"/>
    <xf numFmtId="10" fontId="0" fillId="0" borderId="3" xfId="1" applyNumberFormat="1" applyFont="1" applyBorder="1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2" xfId="0" quotePrefix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quotePrefix="1" applyNumberFormat="1"/>
    <xf numFmtId="164" fontId="0" fillId="0" borderId="0" xfId="0" applyNumberFormat="1"/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hyperbola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Sheet1!$P$2:$P$38</c:f>
              <c:numCache>
                <c:formatCode>0.00%</c:formatCode>
                <c:ptCount val="37"/>
                <c:pt idx="0">
                  <c:v>0.13747720945650246</c:v>
                </c:pt>
                <c:pt idx="1">
                  <c:v>0.12111654660331664</c:v>
                </c:pt>
                <c:pt idx="2">
                  <c:v>0.10611619088975366</c:v>
                </c:pt>
                <c:pt idx="3">
                  <c:v>9.3135747398401497E-2</c:v>
                </c:pt>
                <c:pt idx="4">
                  <c:v>8.3126904697805343E-2</c:v>
                </c:pt>
                <c:pt idx="5">
                  <c:v>7.7253417351519901E-2</c:v>
                </c:pt>
                <c:pt idx="6">
                  <c:v>7.6135993065956628E-2</c:v>
                </c:pt>
                <c:pt idx="7">
                  <c:v>7.6474126781606144E-2</c:v>
                </c:pt>
                <c:pt idx="8">
                  <c:v>8.0936314520746303E-2</c:v>
                </c:pt>
                <c:pt idx="9">
                  <c:v>8.9862535664558832E-2</c:v>
                </c:pt>
                <c:pt idx="10">
                  <c:v>0.10208847628698353</c:v>
                </c:pt>
                <c:pt idx="11">
                  <c:v>0.11658058170983208</c:v>
                </c:pt>
                <c:pt idx="12">
                  <c:v>0.1325978900272497</c:v>
                </c:pt>
                <c:pt idx="13">
                  <c:v>0.14965146913487132</c:v>
                </c:pt>
                <c:pt idx="14">
                  <c:v>0.16382377989127767</c:v>
                </c:pt>
                <c:pt idx="15">
                  <c:v>0.1674249603716334</c:v>
                </c:pt>
                <c:pt idx="16">
                  <c:v>0.18571178170307784</c:v>
                </c:pt>
                <c:pt idx="17">
                  <c:v>0.20061665906311366</c:v>
                </c:pt>
                <c:pt idx="18">
                  <c:v>0.20437418559566467</c:v>
                </c:pt>
                <c:pt idx="19">
                  <c:v>0.22331803102105682</c:v>
                </c:pt>
                <c:pt idx="20">
                  <c:v>0.24247736304039427</c:v>
                </c:pt>
                <c:pt idx="21">
                  <c:v>0.26180487688657667</c:v>
                </c:pt>
                <c:pt idx="22">
                  <c:v>0.2812659042664768</c:v>
                </c:pt>
                <c:pt idx="23">
                  <c:v>0.29691322031838974</c:v>
                </c:pt>
                <c:pt idx="24">
                  <c:v>0.30083453526939558</c:v>
                </c:pt>
                <c:pt idx="25">
                  <c:v>0.32049106022686247</c:v>
                </c:pt>
                <c:pt idx="26">
                  <c:v>0.34022024502753301</c:v>
                </c:pt>
                <c:pt idx="27">
                  <c:v>0.36001014421057881</c:v>
                </c:pt>
                <c:pt idx="28">
                  <c:v>0.37985126840530603</c:v>
                </c:pt>
                <c:pt idx="29">
                  <c:v>0.39973598993634396</c:v>
                </c:pt>
                <c:pt idx="30">
                  <c:v>0.40172661081845529</c:v>
                </c:pt>
                <c:pt idx="31">
                  <c:v>0.41965811151260834</c:v>
                </c:pt>
                <c:pt idx="32">
                  <c:v>0.43961254853898307</c:v>
                </c:pt>
                <c:pt idx="33">
                  <c:v>0.44926333279539388</c:v>
                </c:pt>
                <c:pt idx="34">
                  <c:v>0.45959509187351161</c:v>
                </c:pt>
                <c:pt idx="35">
                  <c:v>0.47960222839575539</c:v>
                </c:pt>
                <c:pt idx="36">
                  <c:v>0.49963100369852759</c:v>
                </c:pt>
              </c:numCache>
            </c:numRef>
          </c:xVal>
          <c:yVal>
            <c:numRef>
              <c:f>Sheet1!$O$2:$O$38</c:f>
              <c:numCache>
                <c:formatCode>0%</c:formatCode>
                <c:ptCount val="3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 formatCode="0.00%">
                  <c:v>5.6457059012334346E-2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0.12</c:v>
                </c:pt>
                <c:pt idx="14" formatCode="0.00%">
                  <c:v>0.128</c:v>
                </c:pt>
                <c:pt idx="15">
                  <c:v>0.13</c:v>
                </c:pt>
                <c:pt idx="16">
                  <c:v>0.14000000000000001</c:v>
                </c:pt>
                <c:pt idx="17" formatCode="0.00%">
                  <c:v>0.14799999999999999</c:v>
                </c:pt>
                <c:pt idx="18">
                  <c:v>0.15</c:v>
                </c:pt>
                <c:pt idx="19">
                  <c:v>0.16</c:v>
                </c:pt>
                <c:pt idx="20">
                  <c:v>0.17</c:v>
                </c:pt>
                <c:pt idx="21">
                  <c:v>0.18</c:v>
                </c:pt>
                <c:pt idx="22">
                  <c:v>0.19</c:v>
                </c:pt>
                <c:pt idx="23" formatCode="0.00%">
                  <c:v>0.19800000000000001</c:v>
                </c:pt>
                <c:pt idx="24">
                  <c:v>0.2</c:v>
                </c:pt>
                <c:pt idx="25">
                  <c:v>0.21</c:v>
                </c:pt>
                <c:pt idx="26">
                  <c:v>0.22</c:v>
                </c:pt>
                <c:pt idx="27">
                  <c:v>0.23</c:v>
                </c:pt>
                <c:pt idx="28">
                  <c:v>0.24</c:v>
                </c:pt>
                <c:pt idx="29">
                  <c:v>0.25</c:v>
                </c:pt>
                <c:pt idx="30" formatCode="0.00%">
                  <c:v>0.251</c:v>
                </c:pt>
                <c:pt idx="31">
                  <c:v>0.26</c:v>
                </c:pt>
                <c:pt idx="32">
                  <c:v>0.27</c:v>
                </c:pt>
                <c:pt idx="33" formatCode="0.00%">
                  <c:v>0.27483124795841557</c:v>
                </c:pt>
                <c:pt idx="34">
                  <c:v>0.28000000000000003</c:v>
                </c:pt>
                <c:pt idx="35">
                  <c:v>0.28999999999999998</c:v>
                </c:pt>
                <c:pt idx="36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C3-A945-8FD1-49DE20D1F15C}"/>
            </c:ext>
          </c:extLst>
        </c:ser>
        <c:ser>
          <c:idx val="1"/>
          <c:order val="1"/>
          <c:tx>
            <c:v>EF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Sheet1!$Q$8:$Q$38</c:f>
              <c:numCache>
                <c:formatCode>0.00%</c:formatCode>
                <c:ptCount val="31"/>
                <c:pt idx="0">
                  <c:v>7.6135993065956628E-2</c:v>
                </c:pt>
                <c:pt idx="1">
                  <c:v>7.6474126781606144E-2</c:v>
                </c:pt>
                <c:pt idx="2">
                  <c:v>8.0936314520746303E-2</c:v>
                </c:pt>
                <c:pt idx="3">
                  <c:v>8.9862535664558832E-2</c:v>
                </c:pt>
                <c:pt idx="4">
                  <c:v>0.10208847628698353</c:v>
                </c:pt>
                <c:pt idx="5">
                  <c:v>0.11658058170983208</c:v>
                </c:pt>
                <c:pt idx="6">
                  <c:v>0.1325978900272497</c:v>
                </c:pt>
                <c:pt idx="7">
                  <c:v>0.14965146913487132</c:v>
                </c:pt>
                <c:pt idx="8">
                  <c:v>0.16382377989127767</c:v>
                </c:pt>
                <c:pt idx="9">
                  <c:v>0.1674249603716334</c:v>
                </c:pt>
                <c:pt idx="10">
                  <c:v>0.18571178170307784</c:v>
                </c:pt>
                <c:pt idx="11">
                  <c:v>0.20061665906311366</c:v>
                </c:pt>
                <c:pt idx="12">
                  <c:v>0.20437418559566467</c:v>
                </c:pt>
                <c:pt idx="13">
                  <c:v>0.22331803102105682</c:v>
                </c:pt>
                <c:pt idx="14">
                  <c:v>0.24247736304039427</c:v>
                </c:pt>
                <c:pt idx="15">
                  <c:v>0.26180487688657667</c:v>
                </c:pt>
                <c:pt idx="16">
                  <c:v>0.2812659042664768</c:v>
                </c:pt>
                <c:pt idx="17">
                  <c:v>0.29691322031838974</c:v>
                </c:pt>
                <c:pt idx="18">
                  <c:v>0.30083453526939558</c:v>
                </c:pt>
                <c:pt idx="19">
                  <c:v>0.32049106022686247</c:v>
                </c:pt>
                <c:pt idx="20">
                  <c:v>0.34022024502753301</c:v>
                </c:pt>
                <c:pt idx="21">
                  <c:v>0.36001014421057881</c:v>
                </c:pt>
                <c:pt idx="22">
                  <c:v>0.37985126840530603</c:v>
                </c:pt>
                <c:pt idx="23">
                  <c:v>0.39973598993634396</c:v>
                </c:pt>
                <c:pt idx="24">
                  <c:v>0.40172661081845529</c:v>
                </c:pt>
                <c:pt idx="25">
                  <c:v>0.41965811151260834</c:v>
                </c:pt>
                <c:pt idx="26">
                  <c:v>0.43961254853898307</c:v>
                </c:pt>
                <c:pt idx="27">
                  <c:v>0.44926333279539388</c:v>
                </c:pt>
                <c:pt idx="28">
                  <c:v>0.45959509187351161</c:v>
                </c:pt>
                <c:pt idx="29">
                  <c:v>0.47960222839575539</c:v>
                </c:pt>
                <c:pt idx="30">
                  <c:v>0.49963100369852759</c:v>
                </c:pt>
              </c:numCache>
            </c:numRef>
          </c:xVal>
          <c:yVal>
            <c:numRef>
              <c:f>Sheet1!$O$8:$O$38</c:f>
              <c:numCache>
                <c:formatCode>0%</c:formatCode>
                <c:ptCount val="31"/>
                <c:pt idx="0" formatCode="0.00%">
                  <c:v>5.6457059012334346E-2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0.09</c:v>
                </c:pt>
                <c:pt idx="5">
                  <c:v>0.1</c:v>
                </c:pt>
                <c:pt idx="6">
                  <c:v>0.11</c:v>
                </c:pt>
                <c:pt idx="7">
                  <c:v>0.12</c:v>
                </c:pt>
                <c:pt idx="8" formatCode="0.00%">
                  <c:v>0.128</c:v>
                </c:pt>
                <c:pt idx="9">
                  <c:v>0.13</c:v>
                </c:pt>
                <c:pt idx="10">
                  <c:v>0.14000000000000001</c:v>
                </c:pt>
                <c:pt idx="11" formatCode="0.00%">
                  <c:v>0.14799999999999999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0.19</c:v>
                </c:pt>
                <c:pt idx="17" formatCode="0.00%">
                  <c:v>0.19800000000000001</c:v>
                </c:pt>
                <c:pt idx="18">
                  <c:v>0.2</c:v>
                </c:pt>
                <c:pt idx="19">
                  <c:v>0.21</c:v>
                </c:pt>
                <c:pt idx="20">
                  <c:v>0.22</c:v>
                </c:pt>
                <c:pt idx="21">
                  <c:v>0.23</c:v>
                </c:pt>
                <c:pt idx="22">
                  <c:v>0.24</c:v>
                </c:pt>
                <c:pt idx="23">
                  <c:v>0.25</c:v>
                </c:pt>
                <c:pt idx="24" formatCode="0.00%">
                  <c:v>0.251</c:v>
                </c:pt>
                <c:pt idx="25">
                  <c:v>0.26</c:v>
                </c:pt>
                <c:pt idx="26">
                  <c:v>0.27</c:v>
                </c:pt>
                <c:pt idx="27" formatCode="0.00%">
                  <c:v>0.27483124795841557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C3-A945-8FD1-49DE20D1F15C}"/>
            </c:ext>
          </c:extLst>
        </c:ser>
        <c:ser>
          <c:idx val="2"/>
          <c:order val="2"/>
          <c:tx>
            <c:v>Telser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Sheet1!$R$2:$R$38</c:f>
              <c:numCache>
                <c:formatCode>General</c:formatCode>
                <c:ptCount val="37"/>
                <c:pt idx="0">
                  <c:v>0</c:v>
                </c:pt>
                <c:pt idx="1">
                  <c:v>1.4826022185056015E-2</c:v>
                </c:pt>
                <c:pt idx="2">
                  <c:v>2.965204437011203E-2</c:v>
                </c:pt>
                <c:pt idx="3">
                  <c:v>4.447806655516804E-2</c:v>
                </c:pt>
                <c:pt idx="4">
                  <c:v>5.930408874022406E-2</c:v>
                </c:pt>
                <c:pt idx="5">
                  <c:v>7.4130110925280074E-2</c:v>
                </c:pt>
                <c:pt idx="6">
                  <c:v>8.3703360941988561E-2</c:v>
                </c:pt>
                <c:pt idx="7">
                  <c:v>8.895613311033608E-2</c:v>
                </c:pt>
                <c:pt idx="8">
                  <c:v>0.10378215529539211</c:v>
                </c:pt>
                <c:pt idx="9">
                  <c:v>0.11860817748044812</c:v>
                </c:pt>
                <c:pt idx="10">
                  <c:v>0.13343419966550413</c:v>
                </c:pt>
                <c:pt idx="11">
                  <c:v>0.14826022185056015</c:v>
                </c:pt>
                <c:pt idx="12">
                  <c:v>0.16308624403561617</c:v>
                </c:pt>
                <c:pt idx="13">
                  <c:v>0.17791226622067216</c:v>
                </c:pt>
                <c:pt idx="14">
                  <c:v>0.18977308396871698</c:v>
                </c:pt>
                <c:pt idx="15">
                  <c:v>0.19273828840572821</c:v>
                </c:pt>
                <c:pt idx="16">
                  <c:v>0.20756431059078423</c:v>
                </c:pt>
                <c:pt idx="17">
                  <c:v>0.21942512833882902</c:v>
                </c:pt>
                <c:pt idx="18">
                  <c:v>0.22239033277584022</c:v>
                </c:pt>
                <c:pt idx="19">
                  <c:v>0.23721635496089624</c:v>
                </c:pt>
                <c:pt idx="20">
                  <c:v>0.25204237714595229</c:v>
                </c:pt>
                <c:pt idx="21">
                  <c:v>0.26686839933100825</c:v>
                </c:pt>
                <c:pt idx="22">
                  <c:v>0.28169442151606428</c:v>
                </c:pt>
                <c:pt idx="23">
                  <c:v>0.29355523926410909</c:v>
                </c:pt>
                <c:pt idx="24">
                  <c:v>0.2965204437011203</c:v>
                </c:pt>
                <c:pt idx="25">
                  <c:v>0.31134646588617632</c:v>
                </c:pt>
                <c:pt idx="26">
                  <c:v>0.32617248807123234</c:v>
                </c:pt>
                <c:pt idx="27">
                  <c:v>0.34099851025628836</c:v>
                </c:pt>
                <c:pt idx="28">
                  <c:v>0.35582453244134432</c:v>
                </c:pt>
                <c:pt idx="29">
                  <c:v>0.37065055462640034</c:v>
                </c:pt>
                <c:pt idx="30">
                  <c:v>0.37213315684490594</c:v>
                </c:pt>
                <c:pt idx="31">
                  <c:v>0.38547657681145642</c:v>
                </c:pt>
                <c:pt idx="32">
                  <c:v>0.40030259899651244</c:v>
                </c:pt>
                <c:pt idx="33">
                  <c:v>0.40746541793780999</c:v>
                </c:pt>
                <c:pt idx="34">
                  <c:v>0.41512862118156846</c:v>
                </c:pt>
                <c:pt idx="35">
                  <c:v>0.42995464336662437</c:v>
                </c:pt>
                <c:pt idx="36">
                  <c:v>0.44478066555168044</c:v>
                </c:pt>
              </c:numCache>
            </c:numRef>
          </c:xVal>
          <c:yVal>
            <c:numRef>
              <c:f>Sheet1!$O$2:$O$38</c:f>
              <c:numCache>
                <c:formatCode>0%</c:formatCode>
                <c:ptCount val="3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 formatCode="0.00%">
                  <c:v>5.6457059012334346E-2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0.12</c:v>
                </c:pt>
                <c:pt idx="14" formatCode="0.00%">
                  <c:v>0.128</c:v>
                </c:pt>
                <c:pt idx="15">
                  <c:v>0.13</c:v>
                </c:pt>
                <c:pt idx="16">
                  <c:v>0.14000000000000001</c:v>
                </c:pt>
                <c:pt idx="17" formatCode="0.00%">
                  <c:v>0.14799999999999999</c:v>
                </c:pt>
                <c:pt idx="18">
                  <c:v>0.15</c:v>
                </c:pt>
                <c:pt idx="19">
                  <c:v>0.16</c:v>
                </c:pt>
                <c:pt idx="20">
                  <c:v>0.17</c:v>
                </c:pt>
                <c:pt idx="21">
                  <c:v>0.18</c:v>
                </c:pt>
                <c:pt idx="22">
                  <c:v>0.19</c:v>
                </c:pt>
                <c:pt idx="23" formatCode="0.00%">
                  <c:v>0.19800000000000001</c:v>
                </c:pt>
                <c:pt idx="24">
                  <c:v>0.2</c:v>
                </c:pt>
                <c:pt idx="25">
                  <c:v>0.21</c:v>
                </c:pt>
                <c:pt idx="26">
                  <c:v>0.22</c:v>
                </c:pt>
                <c:pt idx="27">
                  <c:v>0.23</c:v>
                </c:pt>
                <c:pt idx="28">
                  <c:v>0.24</c:v>
                </c:pt>
                <c:pt idx="29">
                  <c:v>0.25</c:v>
                </c:pt>
                <c:pt idx="30" formatCode="0.00%">
                  <c:v>0.251</c:v>
                </c:pt>
                <c:pt idx="31">
                  <c:v>0.26</c:v>
                </c:pt>
                <c:pt idx="32">
                  <c:v>0.27</c:v>
                </c:pt>
                <c:pt idx="33" formatCode="0.00%">
                  <c:v>0.27483124795841557</c:v>
                </c:pt>
                <c:pt idx="34">
                  <c:v>0.28000000000000003</c:v>
                </c:pt>
                <c:pt idx="35">
                  <c:v>0.28999999999999998</c:v>
                </c:pt>
                <c:pt idx="36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C3-A945-8FD1-49DE20D1F15C}"/>
            </c:ext>
          </c:extLst>
        </c:ser>
        <c:ser>
          <c:idx val="3"/>
          <c:order val="3"/>
          <c:tx>
            <c:v>Roy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Sheet1!$I$68</c:f>
              <c:numCache>
                <c:formatCode>0.00%</c:formatCode>
                <c:ptCount val="1"/>
                <c:pt idx="0">
                  <c:v>9.1438793585831873E-2</c:v>
                </c:pt>
              </c:numCache>
            </c:numRef>
          </c:xVal>
          <c:yVal>
            <c:numRef>
              <c:f>Sheet1!$I$66</c:f>
              <c:numCache>
                <c:formatCode>0.00%</c:formatCode>
                <c:ptCount val="1"/>
                <c:pt idx="0">
                  <c:v>8.143276708964374E-2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2B-F842-9A38-75B54C2FF020}"/>
            </c:ext>
          </c:extLst>
        </c:ser>
        <c:ser>
          <c:idx val="4"/>
          <c:order val="4"/>
          <c:tx>
            <c:v>hyper 2 assets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Sheet1!$S$2:$S$38</c:f>
              <c:numCache>
                <c:formatCode>General</c:formatCode>
                <c:ptCount val="37"/>
                <c:pt idx="0">
                  <c:v>0.1923886149794416</c:v>
                </c:pt>
                <c:pt idx="1">
                  <c:v>0.17673603847106764</c:v>
                </c:pt>
                <c:pt idx="2">
                  <c:v>0.16232867055619141</c:v>
                </c:pt>
                <c:pt idx="3">
                  <c:v>0.14952688435190933</c:v>
                </c:pt>
                <c:pt idx="4">
                  <c:v>0.13877572868766697</c:v>
                </c:pt>
                <c:pt idx="5">
                  <c:v>0.13058268825135882</c:v>
                </c:pt>
                <c:pt idx="6">
                  <c:v>0.12689040541041124</c:v>
                </c:pt>
                <c:pt idx="7">
                  <c:v>0.12544997384800491</c:v>
                </c:pt>
                <c:pt idx="8">
                  <c:v>0.12375894018346148</c:v>
                </c:pt>
                <c:pt idx="9">
                  <c:v>0.12564862307863547</c:v>
                </c:pt>
                <c:pt idx="10">
                  <c:v>0.13096411553221499</c:v>
                </c:pt>
                <c:pt idx="11">
                  <c:v>0.13931383456810253</c:v>
                </c:pt>
                <c:pt idx="12">
                  <c:v>0.15019258076335476</c:v>
                </c:pt>
                <c:pt idx="13">
                  <c:v>0.16309506430300089</c:v>
                </c:pt>
                <c:pt idx="14">
                  <c:v>0.1745752293220606</c:v>
                </c:pt>
                <c:pt idx="15">
                  <c:v>0.17758071559997179</c:v>
                </c:pt>
                <c:pt idx="16">
                  <c:v>0.19329392896661571</c:v>
                </c:pt>
                <c:pt idx="17">
                  <c:v>0.20656090786779821</c:v>
                </c:pt>
                <c:pt idx="18">
                  <c:v>0.20995927525846297</c:v>
                </c:pt>
                <c:pt idx="19">
                  <c:v>0.2273674854241958</c:v>
                </c:pt>
                <c:pt idx="20">
                  <c:v>0.24536049286415224</c:v>
                </c:pt>
                <c:pt idx="21">
                  <c:v>0.26381867136029707</c:v>
                </c:pt>
                <c:pt idx="22">
                  <c:v>0.28265090328431663</c:v>
                </c:pt>
                <c:pt idx="23">
                  <c:v>0.29793839344515133</c:v>
                </c:pt>
                <c:pt idx="24">
                  <c:v>0.30178717130773258</c:v>
                </c:pt>
                <c:pt idx="25">
                  <c:v>0.32117313442092293</c:v>
                </c:pt>
                <c:pt idx="26">
                  <c:v>0.34076618032156991</c:v>
                </c:pt>
                <c:pt idx="27">
                  <c:v>0.36053254901256848</c:v>
                </c:pt>
                <c:pt idx="28">
                  <c:v>0.38044522603576253</c:v>
                </c:pt>
                <c:pt idx="29">
                  <c:v>0.4004823878757463</c:v>
                </c:pt>
                <c:pt idx="30">
                  <c:v>0.40249223594996208</c:v>
                </c:pt>
                <c:pt idx="31">
                  <c:v>0.42062624484602951</c:v>
                </c:pt>
                <c:pt idx="32">
                  <c:v>0.44086217186013937</c:v>
                </c:pt>
                <c:pt idx="33">
                  <c:v>0.45066796000097487</c:v>
                </c:pt>
                <c:pt idx="34">
                  <c:v>0.46117804931562079</c:v>
                </c:pt>
                <c:pt idx="35">
                  <c:v>0.48156375863766793</c:v>
                </c:pt>
                <c:pt idx="36">
                  <c:v>0.50201079267807591</c:v>
                </c:pt>
              </c:numCache>
            </c:numRef>
          </c:xVal>
          <c:yVal>
            <c:numRef>
              <c:f>Sheet1!$O$2:$O$38</c:f>
              <c:numCache>
                <c:formatCode>0%</c:formatCode>
                <c:ptCount val="3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 formatCode="0.00%">
                  <c:v>5.6457059012334346E-2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0.12</c:v>
                </c:pt>
                <c:pt idx="14" formatCode="0.00%">
                  <c:v>0.128</c:v>
                </c:pt>
                <c:pt idx="15">
                  <c:v>0.13</c:v>
                </c:pt>
                <c:pt idx="16">
                  <c:v>0.14000000000000001</c:v>
                </c:pt>
                <c:pt idx="17" formatCode="0.00%">
                  <c:v>0.14799999999999999</c:v>
                </c:pt>
                <c:pt idx="18">
                  <c:v>0.15</c:v>
                </c:pt>
                <c:pt idx="19">
                  <c:v>0.16</c:v>
                </c:pt>
                <c:pt idx="20">
                  <c:v>0.17</c:v>
                </c:pt>
                <c:pt idx="21">
                  <c:v>0.18</c:v>
                </c:pt>
                <c:pt idx="22">
                  <c:v>0.19</c:v>
                </c:pt>
                <c:pt idx="23" formatCode="0.00%">
                  <c:v>0.19800000000000001</c:v>
                </c:pt>
                <c:pt idx="24">
                  <c:v>0.2</c:v>
                </c:pt>
                <c:pt idx="25">
                  <c:v>0.21</c:v>
                </c:pt>
                <c:pt idx="26">
                  <c:v>0.22</c:v>
                </c:pt>
                <c:pt idx="27">
                  <c:v>0.23</c:v>
                </c:pt>
                <c:pt idx="28">
                  <c:v>0.24</c:v>
                </c:pt>
                <c:pt idx="29">
                  <c:v>0.25</c:v>
                </c:pt>
                <c:pt idx="30" formatCode="0.00%">
                  <c:v>0.251</c:v>
                </c:pt>
                <c:pt idx="31">
                  <c:v>0.26</c:v>
                </c:pt>
                <c:pt idx="32">
                  <c:v>0.27</c:v>
                </c:pt>
                <c:pt idx="33" formatCode="0.00%">
                  <c:v>0.27483124795841557</c:v>
                </c:pt>
                <c:pt idx="34">
                  <c:v>0.28000000000000003</c:v>
                </c:pt>
                <c:pt idx="35">
                  <c:v>0.28999999999999998</c:v>
                </c:pt>
                <c:pt idx="36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2B-F842-9A38-75B54C2FF020}"/>
            </c:ext>
          </c:extLst>
        </c:ser>
        <c:ser>
          <c:idx val="5"/>
          <c:order val="5"/>
          <c:tx>
            <c:v>Mr. Capm (2)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1978021978021983"/>
                  <c:y val="-6.33608815426997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B-F842-9A38-75B54C2FF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Sheet1!$F$119</c:f>
              <c:numCache>
                <c:formatCode>General</c:formatCode>
                <c:ptCount val="1"/>
                <c:pt idx="0">
                  <c:v>0.27826366661076651</c:v>
                </c:pt>
              </c:numCache>
            </c:numRef>
          </c:xVal>
          <c:yVal>
            <c:numRef>
              <c:f>Sheet1!$F$117</c:f>
              <c:numCache>
                <c:formatCode>General</c:formatCode>
                <c:ptCount val="1"/>
                <c:pt idx="0">
                  <c:v>0.18768591973154361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2B-F842-9A38-75B54C2FF020}"/>
            </c:ext>
          </c:extLst>
        </c:ser>
        <c:ser>
          <c:idx val="6"/>
          <c:order val="6"/>
          <c:tx>
            <c:v>Mr. Capm (6)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square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2B-F842-9A38-75B54C2FF020}"/>
              </c:ext>
            </c:extLst>
          </c:dPt>
          <c:dLbls>
            <c:dLbl>
              <c:idx val="0"/>
              <c:layout>
                <c:manualLayout>
                  <c:x val="3.021978021978022E-2"/>
                  <c:y val="3.305785123966937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B-F842-9A38-75B54C2FF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Sheet1!$G$168</c:f>
              <c:numCache>
                <c:formatCode>General</c:formatCode>
                <c:ptCount val="1"/>
                <c:pt idx="0">
                  <c:v>0.28728171874406522</c:v>
                </c:pt>
              </c:numCache>
            </c:numRef>
          </c:xVal>
          <c:yVal>
            <c:numRef>
              <c:f>Sheet1!$G$166</c:f>
              <c:numCache>
                <c:formatCode>General</c:formatCode>
                <c:ptCount val="1"/>
                <c:pt idx="0">
                  <c:v>0.19376848192568411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2B-F842-9A38-75B54C2FF020}"/>
            </c:ext>
          </c:extLst>
        </c:ser>
        <c:ser>
          <c:idx val="7"/>
          <c:order val="7"/>
          <c:tx>
            <c:v>T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Sheet1!$G$150</c:f>
              <c:numCache>
                <c:formatCode>General</c:formatCode>
                <c:ptCount val="1"/>
                <c:pt idx="0">
                  <c:v>0.44926333279539066</c:v>
                </c:pt>
              </c:numCache>
            </c:numRef>
          </c:xVal>
          <c:yVal>
            <c:numRef>
              <c:f>Sheet1!$G$148</c:f>
              <c:numCache>
                <c:formatCode>General</c:formatCode>
                <c:ptCount val="1"/>
                <c:pt idx="0">
                  <c:v>0.27483124795841557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2B-F842-9A38-75B54C2FF020}"/>
            </c:ext>
          </c:extLst>
        </c:ser>
        <c:ser>
          <c:idx val="8"/>
          <c:order val="8"/>
          <c:tx>
            <c:v>line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Sheet1!$T$2:$T$38</c:f>
              <c:numCache>
                <c:formatCode>General</c:formatCode>
                <c:ptCount val="37"/>
                <c:pt idx="5">
                  <c:v>0</c:v>
                </c:pt>
                <c:pt idx="6">
                  <c:v>1.290265422746926E-2</c:v>
                </c:pt>
                <c:pt idx="7">
                  <c:v>1.9982246101239692E-2</c:v>
                </c:pt>
                <c:pt idx="8">
                  <c:v>3.9964492202479412E-2</c:v>
                </c:pt>
                <c:pt idx="9">
                  <c:v>5.9946738303719105E-2</c:v>
                </c:pt>
                <c:pt idx="10">
                  <c:v>7.9928984404958797E-2</c:v>
                </c:pt>
                <c:pt idx="11">
                  <c:v>9.9911230506198517E-2</c:v>
                </c:pt>
                <c:pt idx="12">
                  <c:v>0.11989347660743821</c:v>
                </c:pt>
                <c:pt idx="13">
                  <c:v>0.1398757227086779</c:v>
                </c:pt>
                <c:pt idx="14">
                  <c:v>0.15586151958966968</c:v>
                </c:pt>
                <c:pt idx="15">
                  <c:v>0.15985796880991762</c:v>
                </c:pt>
                <c:pt idx="16">
                  <c:v>0.17984021491115734</c:v>
                </c:pt>
                <c:pt idx="17">
                  <c:v>0.19582601179214906</c:v>
                </c:pt>
                <c:pt idx="18">
                  <c:v>0.19982246101239701</c:v>
                </c:pt>
                <c:pt idx="19">
                  <c:v>0.21980470711363673</c:v>
                </c:pt>
                <c:pt idx="20">
                  <c:v>0.23978695321487645</c:v>
                </c:pt>
                <c:pt idx="21">
                  <c:v>0.25976919931611614</c:v>
                </c:pt>
                <c:pt idx="22">
                  <c:v>0.27975144541735586</c:v>
                </c:pt>
                <c:pt idx="23">
                  <c:v>0.29573724229834764</c:v>
                </c:pt>
                <c:pt idx="24">
                  <c:v>0.29973369151859558</c:v>
                </c:pt>
                <c:pt idx="25">
                  <c:v>0.31971593761983519</c:v>
                </c:pt>
                <c:pt idx="26">
                  <c:v>0.33969818372107491</c:v>
                </c:pt>
                <c:pt idx="27">
                  <c:v>0.35968042982231463</c:v>
                </c:pt>
                <c:pt idx="28">
                  <c:v>0.37966267592355435</c:v>
                </c:pt>
                <c:pt idx="29">
                  <c:v>0.39964492202479407</c:v>
                </c:pt>
                <c:pt idx="30">
                  <c:v>0.40164314663491801</c:v>
                </c:pt>
                <c:pt idx="31">
                  <c:v>0.41962716812603379</c:v>
                </c:pt>
                <c:pt idx="32">
                  <c:v>0.43960941422727351</c:v>
                </c:pt>
                <c:pt idx="33">
                  <c:v>0.44926333279539066</c:v>
                </c:pt>
                <c:pt idx="34" formatCode="0.00%">
                  <c:v>0.45959509187351161</c:v>
                </c:pt>
                <c:pt idx="35" formatCode="0.00%">
                  <c:v>0.47960222839575539</c:v>
                </c:pt>
                <c:pt idx="36" formatCode="0.00%">
                  <c:v>0.49963100369852759</c:v>
                </c:pt>
              </c:numCache>
            </c:numRef>
          </c:xVal>
          <c:yVal>
            <c:numRef>
              <c:f>Sheet1!$O$2:$O$38</c:f>
              <c:numCache>
                <c:formatCode>0%</c:formatCode>
                <c:ptCount val="3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 formatCode="0.00%">
                  <c:v>5.6457059012334346E-2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0.12</c:v>
                </c:pt>
                <c:pt idx="14" formatCode="0.00%">
                  <c:v>0.128</c:v>
                </c:pt>
                <c:pt idx="15">
                  <c:v>0.13</c:v>
                </c:pt>
                <c:pt idx="16">
                  <c:v>0.14000000000000001</c:v>
                </c:pt>
                <c:pt idx="17" formatCode="0.00%">
                  <c:v>0.14799999999999999</c:v>
                </c:pt>
                <c:pt idx="18">
                  <c:v>0.15</c:v>
                </c:pt>
                <c:pt idx="19">
                  <c:v>0.16</c:v>
                </c:pt>
                <c:pt idx="20">
                  <c:v>0.17</c:v>
                </c:pt>
                <c:pt idx="21">
                  <c:v>0.18</c:v>
                </c:pt>
                <c:pt idx="22">
                  <c:v>0.19</c:v>
                </c:pt>
                <c:pt idx="23" formatCode="0.00%">
                  <c:v>0.19800000000000001</c:v>
                </c:pt>
                <c:pt idx="24">
                  <c:v>0.2</c:v>
                </c:pt>
                <c:pt idx="25">
                  <c:v>0.21</c:v>
                </c:pt>
                <c:pt idx="26">
                  <c:v>0.22</c:v>
                </c:pt>
                <c:pt idx="27">
                  <c:v>0.23</c:v>
                </c:pt>
                <c:pt idx="28">
                  <c:v>0.24</c:v>
                </c:pt>
                <c:pt idx="29">
                  <c:v>0.25</c:v>
                </c:pt>
                <c:pt idx="30" formatCode="0.00%">
                  <c:v>0.251</c:v>
                </c:pt>
                <c:pt idx="31">
                  <c:v>0.26</c:v>
                </c:pt>
                <c:pt idx="32">
                  <c:v>0.27</c:v>
                </c:pt>
                <c:pt idx="33" formatCode="0.00%">
                  <c:v>0.27483124795841557</c:v>
                </c:pt>
                <c:pt idx="34">
                  <c:v>0.28000000000000003</c:v>
                </c:pt>
                <c:pt idx="35">
                  <c:v>0.28999999999999998</c:v>
                </c:pt>
                <c:pt idx="36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2B-F842-9A38-75B54C2F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394015"/>
        <c:axId val="1894722847"/>
      </c:scatterChart>
      <c:valAx>
        <c:axId val="1780394015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94722847"/>
        <c:crosses val="autoZero"/>
        <c:crossBetween val="midCat"/>
      </c:valAx>
      <c:valAx>
        <c:axId val="1894722847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80394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31</xdr:row>
      <xdr:rowOff>131233</xdr:rowOff>
    </xdr:from>
    <xdr:to>
      <xdr:col>13</xdr:col>
      <xdr:colOff>127000</xdr:colOff>
      <xdr:row>54</xdr:row>
      <xdr:rowOff>67733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3209A1-D756-DA42-9E4C-B61CB72CD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2216-E996-5B4B-A91C-FFBC64048587}">
  <dimension ref="A1:T174"/>
  <sheetViews>
    <sheetView tabSelected="1" topLeftCell="A108" zoomScale="150" zoomScaleNormal="150" workbookViewId="0">
      <selection activeCell="D136" sqref="D136"/>
    </sheetView>
  </sheetViews>
  <sheetFormatPr defaultColWidth="11" defaultRowHeight="15.75" x14ac:dyDescent="0.25"/>
  <cols>
    <col min="5" max="5" width="12.125" customWidth="1"/>
    <col min="6" max="6" width="11.375" customWidth="1"/>
  </cols>
  <sheetData>
    <row r="1" spans="1:20" ht="18.75" x14ac:dyDescent="0.3">
      <c r="A1" s="3" t="s">
        <v>0</v>
      </c>
      <c r="O1" t="s">
        <v>1</v>
      </c>
      <c r="P1" t="s">
        <v>2</v>
      </c>
      <c r="Q1" t="s">
        <v>3</v>
      </c>
      <c r="R1" t="s">
        <v>4</v>
      </c>
      <c r="S1" t="s">
        <v>91</v>
      </c>
      <c r="T1" t="s">
        <v>92</v>
      </c>
    </row>
    <row r="2" spans="1:20" x14ac:dyDescent="0.25">
      <c r="O2" s="2">
        <v>0</v>
      </c>
      <c r="P2" s="12">
        <f>SQRT($D$25*O2^2+$F$25*O2+$H$25)</f>
        <v>0.13747720945650246</v>
      </c>
      <c r="R2">
        <f>O2/$G$84</f>
        <v>0</v>
      </c>
      <c r="S2">
        <f>SQRT($D$133*O2^2+$F$133*O2+$H$133)</f>
        <v>0.1923886149794416</v>
      </c>
    </row>
    <row r="3" spans="1:20" x14ac:dyDescent="0.25">
      <c r="D3" t="s">
        <v>1</v>
      </c>
      <c r="E3" t="s">
        <v>5</v>
      </c>
      <c r="F3" t="s">
        <v>6</v>
      </c>
      <c r="G3" t="s">
        <v>7</v>
      </c>
      <c r="H3" t="s">
        <v>8</v>
      </c>
      <c r="I3" s="6">
        <v>0.15</v>
      </c>
      <c r="O3" s="2">
        <v>0.01</v>
      </c>
      <c r="P3" s="12">
        <f t="shared" ref="P3:P38" si="0">SQRT($D$25*O3^2+$F$25*O3+$H$25)</f>
        <v>0.12111654660331664</v>
      </c>
      <c r="R3">
        <f t="shared" ref="R3:R38" si="1">O3/$G$84</f>
        <v>1.4826022185056015E-2</v>
      </c>
      <c r="S3">
        <f t="shared" ref="S3:S38" si="2">SQRT($D$133*O3^2+$F$133*O3+$H$133)</f>
        <v>0.17673603847106764</v>
      </c>
    </row>
    <row r="4" spans="1:20" x14ac:dyDescent="0.25">
      <c r="C4">
        <v>1</v>
      </c>
      <c r="D4" s="4">
        <v>0.251</v>
      </c>
      <c r="E4" s="5">
        <v>2</v>
      </c>
      <c r="F4" s="5">
        <v>2E-3</v>
      </c>
      <c r="G4" s="12">
        <f>SQRT(E13)</f>
        <v>0.4024922359499622</v>
      </c>
      <c r="H4" t="s">
        <v>9</v>
      </c>
      <c r="I4" s="6">
        <v>0.2</v>
      </c>
      <c r="O4" s="2">
        <v>0.02</v>
      </c>
      <c r="P4" s="12">
        <f t="shared" si="0"/>
        <v>0.10611619088975366</v>
      </c>
      <c r="R4">
        <f t="shared" si="1"/>
        <v>2.965204437011203E-2</v>
      </c>
      <c r="S4">
        <f t="shared" si="2"/>
        <v>0.16232867055619141</v>
      </c>
    </row>
    <row r="5" spans="1:20" x14ac:dyDescent="0.25">
      <c r="C5">
        <v>2</v>
      </c>
      <c r="D5" s="4">
        <v>0.19800000000000001</v>
      </c>
      <c r="E5" s="5">
        <v>1.5</v>
      </c>
      <c r="F5" s="5">
        <v>3.0000000000000001E-3</v>
      </c>
      <c r="G5" s="12">
        <f>SQRT(F14)</f>
        <v>0.30495901363953815</v>
      </c>
      <c r="O5" s="2">
        <v>0.03</v>
      </c>
      <c r="P5" s="12">
        <f t="shared" si="0"/>
        <v>9.3135747398401497E-2</v>
      </c>
      <c r="R5">
        <f t="shared" si="1"/>
        <v>4.447806655516804E-2</v>
      </c>
      <c r="S5">
        <f t="shared" si="2"/>
        <v>0.14952688435190933</v>
      </c>
    </row>
    <row r="6" spans="1:20" x14ac:dyDescent="0.25">
      <c r="C6">
        <v>3</v>
      </c>
      <c r="D6" s="6">
        <v>0.17</v>
      </c>
      <c r="E6" s="5">
        <v>1.2</v>
      </c>
      <c r="F6" s="5">
        <v>4.0000000000000001E-3</v>
      </c>
      <c r="G6" s="12">
        <f>SQRT(G15)</f>
        <v>0.24819347291981717</v>
      </c>
      <c r="O6" s="2">
        <v>0.04</v>
      </c>
      <c r="P6" s="12">
        <f t="shared" si="0"/>
        <v>8.3126904697805343E-2</v>
      </c>
      <c r="R6">
        <f t="shared" si="1"/>
        <v>5.930408874022406E-2</v>
      </c>
      <c r="S6">
        <f t="shared" si="2"/>
        <v>0.13877572868766697</v>
      </c>
    </row>
    <row r="7" spans="1:20" x14ac:dyDescent="0.25">
      <c r="C7">
        <v>4</v>
      </c>
      <c r="D7" s="4">
        <v>0.14799999999999999</v>
      </c>
      <c r="E7" s="5">
        <v>1</v>
      </c>
      <c r="F7" s="5">
        <v>5.0000000000000001E-3</v>
      </c>
      <c r="G7" s="12">
        <f>SQRT(H16)</f>
        <v>0.21213203435596428</v>
      </c>
      <c r="O7" s="2">
        <v>0.05</v>
      </c>
      <c r="P7" s="12">
        <f t="shared" si="0"/>
        <v>7.7253417351519901E-2</v>
      </c>
      <c r="R7">
        <f t="shared" si="1"/>
        <v>7.4130110925280074E-2</v>
      </c>
      <c r="S7">
        <f t="shared" si="2"/>
        <v>0.13058268825135882</v>
      </c>
      <c r="T7">
        <f t="shared" ref="T7:T34" si="3">(O7-$D$137)/$G$156</f>
        <v>0</v>
      </c>
    </row>
    <row r="8" spans="1:20" x14ac:dyDescent="0.25">
      <c r="C8">
        <v>5</v>
      </c>
      <c r="D8" s="4">
        <v>0.128</v>
      </c>
      <c r="E8" s="5">
        <v>0.8</v>
      </c>
      <c r="F8" s="5">
        <v>6.0000000000000001E-3</v>
      </c>
      <c r="G8" s="12">
        <f>SQRT(I17)</f>
        <v>0.17776388834631179</v>
      </c>
      <c r="N8" t="s">
        <v>10</v>
      </c>
      <c r="O8" s="1">
        <f>G35</f>
        <v>5.6457059012334346E-2</v>
      </c>
      <c r="P8" s="12">
        <f t="shared" si="0"/>
        <v>7.6135993065956628E-2</v>
      </c>
      <c r="Q8" s="1">
        <f>P8</f>
        <v>7.6135993065956628E-2</v>
      </c>
      <c r="R8">
        <f t="shared" si="1"/>
        <v>8.3703360941988561E-2</v>
      </c>
      <c r="S8">
        <f t="shared" si="2"/>
        <v>0.12689040541041124</v>
      </c>
      <c r="T8">
        <f t="shared" si="3"/>
        <v>1.290265422746926E-2</v>
      </c>
    </row>
    <row r="9" spans="1:20" x14ac:dyDescent="0.25">
      <c r="C9">
        <v>6</v>
      </c>
      <c r="D9" s="6">
        <v>0.12</v>
      </c>
      <c r="E9" s="5">
        <v>0.7</v>
      </c>
      <c r="F9" s="5">
        <v>7.0000000000000001E-3</v>
      </c>
      <c r="G9" s="12">
        <f>SQRT(J18)</f>
        <v>0.16309506430300091</v>
      </c>
      <c r="O9" s="2">
        <v>0.06</v>
      </c>
      <c r="P9" s="12">
        <f t="shared" si="0"/>
        <v>7.6474126781606144E-2</v>
      </c>
      <c r="Q9" s="1">
        <f t="shared" ref="Q9:Q38" si="4">P9</f>
        <v>7.6474126781606144E-2</v>
      </c>
      <c r="R9">
        <f t="shared" si="1"/>
        <v>8.895613311033608E-2</v>
      </c>
      <c r="S9">
        <f t="shared" si="2"/>
        <v>0.12544997384800491</v>
      </c>
      <c r="T9">
        <f t="shared" si="3"/>
        <v>1.9982246101239692E-2</v>
      </c>
    </row>
    <row r="10" spans="1:20" x14ac:dyDescent="0.25">
      <c r="O10" s="2">
        <v>7.0000000000000007E-2</v>
      </c>
      <c r="P10" s="12">
        <f t="shared" si="0"/>
        <v>8.0936314520746303E-2</v>
      </c>
      <c r="Q10" s="1">
        <f t="shared" si="4"/>
        <v>8.0936314520746303E-2</v>
      </c>
      <c r="R10">
        <f t="shared" si="1"/>
        <v>0.10378215529539211</v>
      </c>
      <c r="S10">
        <f t="shared" si="2"/>
        <v>0.12375894018346148</v>
      </c>
      <c r="T10">
        <f t="shared" si="3"/>
        <v>3.9964492202479412E-2</v>
      </c>
    </row>
    <row r="11" spans="1:20" x14ac:dyDescent="0.25">
      <c r="O11" s="2">
        <v>0.08</v>
      </c>
      <c r="P11" s="12">
        <f t="shared" si="0"/>
        <v>8.9862535664558832E-2</v>
      </c>
      <c r="Q11" s="1">
        <f t="shared" si="4"/>
        <v>8.9862535664558832E-2</v>
      </c>
      <c r="R11">
        <f t="shared" si="1"/>
        <v>0.11860817748044812</v>
      </c>
      <c r="S11">
        <f t="shared" si="2"/>
        <v>0.12564862307863547</v>
      </c>
      <c r="T11">
        <f t="shared" si="3"/>
        <v>5.9946738303719105E-2</v>
      </c>
    </row>
    <row r="12" spans="1:20" x14ac:dyDescent="0.25">
      <c r="A12" t="s">
        <v>11</v>
      </c>
      <c r="C12" t="s">
        <v>1</v>
      </c>
      <c r="E12" t="s">
        <v>12</v>
      </c>
      <c r="L12" t="s">
        <v>13</v>
      </c>
      <c r="O12" s="2">
        <v>0.09</v>
      </c>
      <c r="P12" s="12">
        <f t="shared" si="0"/>
        <v>0.10208847628698353</v>
      </c>
      <c r="Q12" s="1">
        <f t="shared" si="4"/>
        <v>0.10208847628698353</v>
      </c>
      <c r="R12">
        <f t="shared" si="1"/>
        <v>0.13343419966550413</v>
      </c>
      <c r="S12">
        <f t="shared" si="2"/>
        <v>0.13096411553221499</v>
      </c>
      <c r="T12">
        <f t="shared" si="3"/>
        <v>7.9928984404958797E-2</v>
      </c>
    </row>
    <row r="13" spans="1:20" x14ac:dyDescent="0.25">
      <c r="C13" s="7">
        <f>D4</f>
        <v>0.251</v>
      </c>
      <c r="E13" s="8">
        <f>$E4^2*$I$4^2+$F4</f>
        <v>0.16200000000000003</v>
      </c>
      <c r="F13" s="8">
        <v>0.12000000000000002</v>
      </c>
      <c r="G13" s="8">
        <v>9.6000000000000016E-2</v>
      </c>
      <c r="H13" s="8">
        <v>8.0000000000000016E-2</v>
      </c>
      <c r="I13" s="8">
        <v>6.4000000000000015E-2</v>
      </c>
      <c r="J13" s="8">
        <v>5.6000000000000008E-2</v>
      </c>
      <c r="L13">
        <v>1</v>
      </c>
      <c r="O13" s="2">
        <v>0.1</v>
      </c>
      <c r="P13" s="12">
        <f t="shared" si="0"/>
        <v>0.11658058170983208</v>
      </c>
      <c r="Q13" s="1">
        <f t="shared" si="4"/>
        <v>0.11658058170983208</v>
      </c>
      <c r="R13">
        <f t="shared" si="1"/>
        <v>0.14826022185056015</v>
      </c>
      <c r="S13">
        <f t="shared" si="2"/>
        <v>0.13931383456810253</v>
      </c>
      <c r="T13">
        <f t="shared" si="3"/>
        <v>9.9911230506198517E-2</v>
      </c>
    </row>
    <row r="14" spans="1:20" x14ac:dyDescent="0.25">
      <c r="C14" s="7">
        <f t="shared" ref="C14:C18" si="5">D5</f>
        <v>0.19800000000000001</v>
      </c>
      <c r="E14" s="8">
        <f>$E$4*E5*$I$4^2</f>
        <v>0.12000000000000002</v>
      </c>
      <c r="F14" s="8">
        <f>$E5^2*$I$4^2+$F5</f>
        <v>9.3000000000000027E-2</v>
      </c>
      <c r="G14" s="8">
        <v>7.2000000000000008E-2</v>
      </c>
      <c r="H14" s="8">
        <v>6.0000000000000012E-2</v>
      </c>
      <c r="I14" s="8">
        <v>4.8000000000000015E-2</v>
      </c>
      <c r="J14" s="8">
        <v>4.2000000000000003E-2</v>
      </c>
      <c r="L14">
        <v>1</v>
      </c>
      <c r="O14" s="2">
        <v>0.11</v>
      </c>
      <c r="P14" s="12">
        <f t="shared" si="0"/>
        <v>0.1325978900272497</v>
      </c>
      <c r="Q14" s="1">
        <f t="shared" si="4"/>
        <v>0.1325978900272497</v>
      </c>
      <c r="R14">
        <f t="shared" si="1"/>
        <v>0.16308624403561617</v>
      </c>
      <c r="S14">
        <f t="shared" si="2"/>
        <v>0.15019258076335476</v>
      </c>
      <c r="T14">
        <f t="shared" si="3"/>
        <v>0.11989347660743821</v>
      </c>
    </row>
    <row r="15" spans="1:20" x14ac:dyDescent="0.25">
      <c r="C15" s="7">
        <f t="shared" si="5"/>
        <v>0.17</v>
      </c>
      <c r="E15" s="8">
        <f>$E$4*E6*$I$4^2</f>
        <v>9.6000000000000016E-2</v>
      </c>
      <c r="F15" s="8">
        <f>$E$5*E6*$I$4^2</f>
        <v>7.2000000000000008E-2</v>
      </c>
      <c r="G15" s="8">
        <f>$E6^2*$I$4^2+$F6</f>
        <v>6.1600000000000016E-2</v>
      </c>
      <c r="H15" s="8">
        <v>4.8000000000000008E-2</v>
      </c>
      <c r="I15" s="8">
        <v>3.8400000000000004E-2</v>
      </c>
      <c r="J15" s="8">
        <v>3.3600000000000005E-2</v>
      </c>
      <c r="L15">
        <v>1</v>
      </c>
      <c r="N15">
        <v>6</v>
      </c>
      <c r="O15" s="2">
        <v>0.12</v>
      </c>
      <c r="P15" s="12">
        <f t="shared" si="0"/>
        <v>0.14965146913487132</v>
      </c>
      <c r="Q15" s="1">
        <f t="shared" si="4"/>
        <v>0.14965146913487132</v>
      </c>
      <c r="R15">
        <f t="shared" si="1"/>
        <v>0.17791226622067216</v>
      </c>
      <c r="S15">
        <f t="shared" si="2"/>
        <v>0.16309506430300089</v>
      </c>
      <c r="T15">
        <f t="shared" si="3"/>
        <v>0.1398757227086779</v>
      </c>
    </row>
    <row r="16" spans="1:20" x14ac:dyDescent="0.25">
      <c r="C16" s="7">
        <f t="shared" si="5"/>
        <v>0.14799999999999999</v>
      </c>
      <c r="E16" s="8">
        <f t="shared" ref="E16:E18" si="6">$E$4*E7*$I$4^2</f>
        <v>8.0000000000000016E-2</v>
      </c>
      <c r="F16" s="8">
        <f>$E$5*E7*$I$4^2</f>
        <v>6.0000000000000012E-2</v>
      </c>
      <c r="G16" s="8">
        <f>$E$6*E7*$I$4^2</f>
        <v>4.8000000000000008E-2</v>
      </c>
      <c r="H16" s="8">
        <f>$E7^2*$I$4^2+$F7</f>
        <v>4.5000000000000005E-2</v>
      </c>
      <c r="I16" s="8">
        <v>3.2000000000000008E-2</v>
      </c>
      <c r="J16" s="8">
        <v>2.8000000000000004E-2</v>
      </c>
      <c r="L16">
        <v>1</v>
      </c>
      <c r="N16">
        <v>5</v>
      </c>
      <c r="O16" s="1">
        <v>0.128</v>
      </c>
      <c r="P16" s="12">
        <f t="shared" si="0"/>
        <v>0.16382377989127767</v>
      </c>
      <c r="Q16" s="1">
        <f t="shared" si="4"/>
        <v>0.16382377989127767</v>
      </c>
      <c r="R16">
        <f t="shared" si="1"/>
        <v>0.18977308396871698</v>
      </c>
      <c r="S16">
        <f t="shared" si="2"/>
        <v>0.1745752293220606</v>
      </c>
      <c r="T16">
        <f t="shared" si="3"/>
        <v>0.15586151958966968</v>
      </c>
    </row>
    <row r="17" spans="1:20" x14ac:dyDescent="0.25">
      <c r="C17" s="7">
        <f t="shared" si="5"/>
        <v>0.128</v>
      </c>
      <c r="E17" s="8">
        <f>$E$4*E8*$I$4^2</f>
        <v>6.4000000000000015E-2</v>
      </c>
      <c r="F17" s="8">
        <f t="shared" ref="F17:F18" si="7">$E$5*E8*$I$4^2</f>
        <v>4.8000000000000015E-2</v>
      </c>
      <c r="G17" s="8">
        <f>$E$6*E8*$I$4^2</f>
        <v>3.8400000000000004E-2</v>
      </c>
      <c r="H17" s="8">
        <f>$E$7*E8*$I$4^2</f>
        <v>3.2000000000000008E-2</v>
      </c>
      <c r="I17" s="8">
        <f>$E8^2*$I$4^2+$F8</f>
        <v>3.160000000000001E-2</v>
      </c>
      <c r="J17" s="8">
        <f>I18</f>
        <v>2.2400000000000003E-2</v>
      </c>
      <c r="L17">
        <v>1</v>
      </c>
      <c r="O17" s="2">
        <v>0.13</v>
      </c>
      <c r="P17" s="12">
        <f t="shared" si="0"/>
        <v>0.1674249603716334</v>
      </c>
      <c r="Q17" s="1">
        <f t="shared" si="4"/>
        <v>0.1674249603716334</v>
      </c>
      <c r="R17">
        <f t="shared" si="1"/>
        <v>0.19273828840572821</v>
      </c>
      <c r="S17">
        <f t="shared" si="2"/>
        <v>0.17758071559997179</v>
      </c>
      <c r="T17">
        <f t="shared" si="3"/>
        <v>0.15985796880991762</v>
      </c>
    </row>
    <row r="18" spans="1:20" x14ac:dyDescent="0.25">
      <c r="C18" s="7">
        <f t="shared" si="5"/>
        <v>0.12</v>
      </c>
      <c r="E18" s="8">
        <f t="shared" si="6"/>
        <v>5.6000000000000008E-2</v>
      </c>
      <c r="F18" s="8">
        <f t="shared" si="7"/>
        <v>4.2000000000000003E-2</v>
      </c>
      <c r="G18" s="8">
        <f t="shared" ref="G18" si="8">$E$6*E9*$I$4^2</f>
        <v>3.3600000000000005E-2</v>
      </c>
      <c r="H18" s="8">
        <f>$E$7*E9*$I$4^2</f>
        <v>2.8000000000000004E-2</v>
      </c>
      <c r="I18" s="8">
        <f>$E$8*E9*$I$4^2</f>
        <v>2.2400000000000003E-2</v>
      </c>
      <c r="J18" s="8">
        <f>$E9^2*$I$4^2+$F9</f>
        <v>2.6600000000000002E-2</v>
      </c>
      <c r="L18">
        <v>1</v>
      </c>
      <c r="O18" s="2">
        <v>0.14000000000000001</v>
      </c>
      <c r="P18" s="12">
        <f t="shared" si="0"/>
        <v>0.18571178170307784</v>
      </c>
      <c r="Q18" s="1">
        <f t="shared" si="4"/>
        <v>0.18571178170307784</v>
      </c>
      <c r="R18">
        <f t="shared" si="1"/>
        <v>0.20756431059078423</v>
      </c>
      <c r="S18">
        <f t="shared" si="2"/>
        <v>0.19329392896661571</v>
      </c>
      <c r="T18">
        <f t="shared" si="3"/>
        <v>0.17984021491115734</v>
      </c>
    </row>
    <row r="19" spans="1:20" x14ac:dyDescent="0.25">
      <c r="C19" s="1"/>
      <c r="N19">
        <v>4</v>
      </c>
      <c r="O19" s="1">
        <f>D7</f>
        <v>0.14799999999999999</v>
      </c>
      <c r="P19" s="12">
        <f t="shared" si="0"/>
        <v>0.20061665906311366</v>
      </c>
      <c r="Q19" s="1">
        <f t="shared" si="4"/>
        <v>0.20061665906311366</v>
      </c>
      <c r="R19">
        <f t="shared" si="1"/>
        <v>0.21942512833882902</v>
      </c>
      <c r="S19">
        <f t="shared" si="2"/>
        <v>0.20656090786779821</v>
      </c>
      <c r="T19">
        <f t="shared" si="3"/>
        <v>0.19582601179214906</v>
      </c>
    </row>
    <row r="20" spans="1:20" x14ac:dyDescent="0.25">
      <c r="C20" s="1"/>
      <c r="O20" s="2">
        <v>0.15</v>
      </c>
      <c r="P20" s="12">
        <f t="shared" si="0"/>
        <v>0.20437418559566467</v>
      </c>
      <c r="Q20" s="1">
        <f t="shared" si="4"/>
        <v>0.20437418559566467</v>
      </c>
      <c r="R20">
        <f t="shared" si="1"/>
        <v>0.22239033277584022</v>
      </c>
      <c r="S20">
        <f t="shared" si="2"/>
        <v>0.20995927525846297</v>
      </c>
      <c r="T20">
        <f t="shared" si="3"/>
        <v>0.19982246101239701</v>
      </c>
    </row>
    <row r="21" spans="1:20" x14ac:dyDescent="0.25">
      <c r="O21" s="2">
        <v>0.16</v>
      </c>
      <c r="P21" s="12">
        <f t="shared" si="0"/>
        <v>0.22331803102105682</v>
      </c>
      <c r="Q21" s="1">
        <f t="shared" si="4"/>
        <v>0.22331803102105682</v>
      </c>
      <c r="R21">
        <f t="shared" si="1"/>
        <v>0.23721635496089624</v>
      </c>
      <c r="S21">
        <f t="shared" si="2"/>
        <v>0.2273674854241958</v>
      </c>
      <c r="T21">
        <f t="shared" si="3"/>
        <v>0.21980470711363673</v>
      </c>
    </row>
    <row r="22" spans="1:20" x14ac:dyDescent="0.25">
      <c r="A22" t="s">
        <v>14</v>
      </c>
      <c r="N22">
        <v>3</v>
      </c>
      <c r="O22" s="2">
        <v>0.17</v>
      </c>
      <c r="P22" s="12">
        <f t="shared" si="0"/>
        <v>0.24247736304039427</v>
      </c>
      <c r="Q22" s="1">
        <f t="shared" si="4"/>
        <v>0.24247736304039427</v>
      </c>
      <c r="R22">
        <f t="shared" si="1"/>
        <v>0.25204237714595229</v>
      </c>
      <c r="S22">
        <f t="shared" si="2"/>
        <v>0.24536049286415224</v>
      </c>
      <c r="T22">
        <f t="shared" si="3"/>
        <v>0.23978695321487645</v>
      </c>
    </row>
    <row r="23" spans="1:20" x14ac:dyDescent="0.25">
      <c r="B23" t="s">
        <v>15</v>
      </c>
      <c r="C23" t="s">
        <v>16</v>
      </c>
      <c r="J23" t="s">
        <v>17</v>
      </c>
      <c r="O23" s="2">
        <v>0.18</v>
      </c>
      <c r="P23" s="12">
        <f t="shared" si="0"/>
        <v>0.26180487688657667</v>
      </c>
      <c r="Q23" s="1">
        <f t="shared" si="4"/>
        <v>0.26180487688657667</v>
      </c>
      <c r="R23">
        <f t="shared" si="1"/>
        <v>0.26686839933100825</v>
      </c>
      <c r="S23">
        <f t="shared" si="2"/>
        <v>0.26381867136029707</v>
      </c>
      <c r="T23">
        <f t="shared" si="3"/>
        <v>0.25976919931611614</v>
      </c>
    </row>
    <row r="24" spans="1:20" ht="16.5" thickBot="1" x14ac:dyDescent="0.3">
      <c r="J24" t="s">
        <v>18</v>
      </c>
      <c r="O24" s="2">
        <v>0.19</v>
      </c>
      <c r="P24" s="12">
        <f t="shared" si="0"/>
        <v>0.2812659042664768</v>
      </c>
      <c r="Q24" s="1">
        <f t="shared" si="4"/>
        <v>0.2812659042664768</v>
      </c>
      <c r="R24">
        <f t="shared" si="1"/>
        <v>0.28169442151606428</v>
      </c>
      <c r="S24">
        <f t="shared" si="2"/>
        <v>0.28265090328431663</v>
      </c>
      <c r="T24">
        <f t="shared" si="3"/>
        <v>0.27975144541735586</v>
      </c>
    </row>
    <row r="25" spans="1:20" ht="16.5" thickBot="1" x14ac:dyDescent="0.3">
      <c r="C25" s="9" t="s">
        <v>19</v>
      </c>
      <c r="D25" s="10">
        <f>D28/D32</f>
        <v>4.1109668333547287</v>
      </c>
      <c r="E25" s="10" t="s">
        <v>20</v>
      </c>
      <c r="F25" s="10">
        <f>-2*D29/D32</f>
        <v>-0.46418619421691504</v>
      </c>
      <c r="G25" s="10" t="s">
        <v>21</v>
      </c>
      <c r="H25" s="11">
        <f>D30/D32</f>
        <v>1.8899983119947047E-2</v>
      </c>
      <c r="J25" t="s">
        <v>22</v>
      </c>
      <c r="N25">
        <v>2</v>
      </c>
      <c r="O25" s="1">
        <f>D5</f>
        <v>0.19800000000000001</v>
      </c>
      <c r="P25" s="12">
        <f t="shared" si="0"/>
        <v>0.29691322031838974</v>
      </c>
      <c r="Q25" s="1">
        <f t="shared" si="4"/>
        <v>0.29691322031838974</v>
      </c>
      <c r="R25">
        <f t="shared" si="1"/>
        <v>0.29355523926410909</v>
      </c>
      <c r="S25">
        <f t="shared" si="2"/>
        <v>0.29793839344515133</v>
      </c>
      <c r="T25">
        <f t="shared" si="3"/>
        <v>0.29573724229834764</v>
      </c>
    </row>
    <row r="26" spans="1:20" ht="16.5" thickBot="1" x14ac:dyDescent="0.3">
      <c r="J26" t="s">
        <v>23</v>
      </c>
      <c r="O26" s="2">
        <v>0.2</v>
      </c>
      <c r="P26" s="12">
        <f t="shared" si="0"/>
        <v>0.30083453526939558</v>
      </c>
      <c r="Q26" s="1">
        <f t="shared" si="4"/>
        <v>0.30083453526939558</v>
      </c>
      <c r="R26">
        <f t="shared" si="1"/>
        <v>0.2965204437011203</v>
      </c>
      <c r="S26">
        <f t="shared" si="2"/>
        <v>0.30178717130773258</v>
      </c>
      <c r="T26">
        <f t="shared" si="3"/>
        <v>0.29973369151859558</v>
      </c>
    </row>
    <row r="27" spans="1:20" ht="16.5" thickBot="1" x14ac:dyDescent="0.3">
      <c r="G27" s="9" t="s">
        <v>24</v>
      </c>
      <c r="H27" s="13">
        <f>G35</f>
        <v>5.6457059012334346E-2</v>
      </c>
      <c r="J27" t="s">
        <v>25</v>
      </c>
      <c r="O27" s="2">
        <v>0.21</v>
      </c>
      <c r="P27" s="12">
        <f t="shared" si="0"/>
        <v>0.32049106022686247</v>
      </c>
      <c r="Q27" s="1">
        <f t="shared" si="4"/>
        <v>0.32049106022686247</v>
      </c>
      <c r="R27">
        <f t="shared" si="1"/>
        <v>0.31134646588617632</v>
      </c>
      <c r="S27">
        <f t="shared" si="2"/>
        <v>0.32117313442092293</v>
      </c>
      <c r="T27">
        <f t="shared" si="3"/>
        <v>0.31971593761983519</v>
      </c>
    </row>
    <row r="28" spans="1:20" x14ac:dyDescent="0.25">
      <c r="C28" t="s">
        <v>26</v>
      </c>
      <c r="D28" cm="1">
        <f t="array" ref="D28">MMULT(MMULT(TRANSPOSE(L13:L18),MINVERSE(E13:J18)),L13:L18)</f>
        <v>172.51226071824075</v>
      </c>
      <c r="J28" t="s">
        <v>27</v>
      </c>
      <c r="O28" s="2">
        <v>0.22</v>
      </c>
      <c r="P28" s="12">
        <f t="shared" si="0"/>
        <v>0.34022024502753301</v>
      </c>
      <c r="Q28" s="1">
        <f t="shared" si="4"/>
        <v>0.34022024502753301</v>
      </c>
      <c r="R28">
        <f t="shared" si="1"/>
        <v>0.32617248807123234</v>
      </c>
      <c r="S28">
        <f t="shared" si="2"/>
        <v>0.34076618032156991</v>
      </c>
      <c r="T28">
        <f t="shared" si="3"/>
        <v>0.33969818372107491</v>
      </c>
    </row>
    <row r="29" spans="1:20" x14ac:dyDescent="0.25">
      <c r="C29" t="s">
        <v>28</v>
      </c>
      <c r="D29" cm="1">
        <f t="array" ref="D29">MMULT(MMULT(TRANSPOSE(L13:L18),MINVERSE(E13:J18)),C13:C18)</f>
        <v>9.7395348837209408</v>
      </c>
      <c r="J29" t="s">
        <v>29</v>
      </c>
      <c r="O29" s="2">
        <v>0.23</v>
      </c>
      <c r="P29" s="12">
        <f t="shared" si="0"/>
        <v>0.36001014421057881</v>
      </c>
      <c r="Q29" s="1">
        <f t="shared" si="4"/>
        <v>0.36001014421057881</v>
      </c>
      <c r="R29">
        <f t="shared" si="1"/>
        <v>0.34099851025628836</v>
      </c>
      <c r="S29">
        <f t="shared" si="2"/>
        <v>0.36053254901256848</v>
      </c>
      <c r="T29">
        <f t="shared" si="3"/>
        <v>0.35968042982231463</v>
      </c>
    </row>
    <row r="30" spans="1:20" x14ac:dyDescent="0.25">
      <c r="C30" t="s">
        <v>30</v>
      </c>
      <c r="D30" cm="1">
        <f t="array" ref="D30">MMULT(MMULT(TRANSPOSE(C13:C18),MINVERSE(E13:J18)),C13:C18)</f>
        <v>0.79311727574750601</v>
      </c>
      <c r="O30" s="2">
        <v>0.24</v>
      </c>
      <c r="P30" s="12">
        <f t="shared" si="0"/>
        <v>0.37985126840530603</v>
      </c>
      <c r="Q30" s="1">
        <f t="shared" si="4"/>
        <v>0.37985126840530603</v>
      </c>
      <c r="R30">
        <f t="shared" si="1"/>
        <v>0.35582453244134432</v>
      </c>
      <c r="S30">
        <f t="shared" si="2"/>
        <v>0.38044522603576253</v>
      </c>
      <c r="T30">
        <f t="shared" si="3"/>
        <v>0.37966267592355435</v>
      </c>
    </row>
    <row r="31" spans="1:20" x14ac:dyDescent="0.25">
      <c r="O31" s="2">
        <v>0.25</v>
      </c>
      <c r="P31" s="12">
        <f t="shared" si="0"/>
        <v>0.39973598993634396</v>
      </c>
      <c r="Q31" s="1">
        <f t="shared" si="4"/>
        <v>0.39973598993634396</v>
      </c>
      <c r="R31">
        <f t="shared" si="1"/>
        <v>0.37065055462640034</v>
      </c>
      <c r="S31">
        <f t="shared" si="2"/>
        <v>0.4004823878757463</v>
      </c>
      <c r="T31">
        <f t="shared" si="3"/>
        <v>0.39964492202479407</v>
      </c>
    </row>
    <row r="32" spans="1:20" x14ac:dyDescent="0.25">
      <c r="C32" t="s">
        <v>31</v>
      </c>
      <c r="D32">
        <f>D28*D30-D29^2</f>
        <v>41.963914502677511</v>
      </c>
      <c r="N32">
        <v>1</v>
      </c>
      <c r="O32" s="1">
        <f>D4</f>
        <v>0.251</v>
      </c>
      <c r="P32" s="12">
        <f t="shared" si="0"/>
        <v>0.40172661081845529</v>
      </c>
      <c r="Q32" s="1">
        <f t="shared" si="4"/>
        <v>0.40172661081845529</v>
      </c>
      <c r="R32">
        <f t="shared" si="1"/>
        <v>0.37213315684490594</v>
      </c>
      <c r="S32">
        <f t="shared" si="2"/>
        <v>0.40249223594996208</v>
      </c>
      <c r="T32">
        <f t="shared" si="3"/>
        <v>0.40164314663491801</v>
      </c>
    </row>
    <row r="33" spans="3:20" x14ac:dyDescent="0.25">
      <c r="O33" s="2">
        <v>0.26</v>
      </c>
      <c r="P33" s="12">
        <f t="shared" si="0"/>
        <v>0.41965811151260834</v>
      </c>
      <c r="Q33" s="1">
        <f t="shared" si="4"/>
        <v>0.41965811151260834</v>
      </c>
      <c r="R33">
        <f t="shared" si="1"/>
        <v>0.38547657681145642</v>
      </c>
      <c r="S33">
        <f t="shared" si="2"/>
        <v>0.42062624484602951</v>
      </c>
      <c r="T33">
        <f t="shared" si="3"/>
        <v>0.41962716812603379</v>
      </c>
    </row>
    <row r="34" spans="3:20" x14ac:dyDescent="0.25">
      <c r="C34" t="s">
        <v>32</v>
      </c>
      <c r="O34" s="2">
        <v>0.27</v>
      </c>
      <c r="P34" s="12">
        <f t="shared" si="0"/>
        <v>0.43961254853898307</v>
      </c>
      <c r="Q34" s="1">
        <f t="shared" si="4"/>
        <v>0.43961254853898307</v>
      </c>
      <c r="R34">
        <f t="shared" si="1"/>
        <v>0.40030259899651244</v>
      </c>
      <c r="S34">
        <f t="shared" si="2"/>
        <v>0.44086217186013937</v>
      </c>
      <c r="T34">
        <f t="shared" si="3"/>
        <v>0.43960941422727351</v>
      </c>
    </row>
    <row r="35" spans="3:20" x14ac:dyDescent="0.25">
      <c r="C35" t="s">
        <v>33</v>
      </c>
      <c r="D35" cm="1">
        <f t="array" ref="D35:D40">1/D28*MMULT(MINVERSE(E13:J18),L13:L18)</f>
        <v>-0.78820670365445467</v>
      </c>
      <c r="F35" t="s">
        <v>34</v>
      </c>
      <c r="G35" s="12" cm="1">
        <f t="array" ref="G35">MMULT(TRANSPOSE(_xlfn.ANCHORARRAY(D35)),$C$13:$C$18)</f>
        <v>5.6457059012334346E-2</v>
      </c>
      <c r="N35" s="14" t="s">
        <v>80</v>
      </c>
      <c r="O35" s="1">
        <f>G148</f>
        <v>0.27483124795841557</v>
      </c>
      <c r="P35" s="12">
        <f t="shared" ref="P35" si="9">SQRT($D$25*O35^2+$F$25*O35+$H$25)</f>
        <v>0.44926333279539388</v>
      </c>
      <c r="Q35" s="1">
        <f t="shared" ref="Q35" si="10">P35</f>
        <v>0.44926333279539388</v>
      </c>
      <c r="R35">
        <f t="shared" ref="R35" si="11">O35/$G$84</f>
        <v>0.40746541793780999</v>
      </c>
      <c r="S35">
        <f t="shared" ref="S35" si="12">SQRT($D$133*O35^2+$F$133*O35+$H$133)</f>
        <v>0.45066796000097487</v>
      </c>
      <c r="T35">
        <f t="shared" ref="T35" si="13">(O35-$D$137)/$G$156</f>
        <v>0.44926333279539066</v>
      </c>
    </row>
    <row r="36" spans="3:20" x14ac:dyDescent="0.25">
      <c r="D36">
        <v>8.8954101517722761E-2</v>
      </c>
      <c r="F36" t="s">
        <v>35</v>
      </c>
      <c r="G36" cm="1">
        <f t="array" ref="G36">MMULT(MMULT(TRANSPOSE(_xlfn.ANCHORARRAY(D35)),$E$13:$J$18),_xlfn.ANCHORARRAY(D35))</f>
        <v>5.7966894401393753E-3</v>
      </c>
      <c r="O36" s="2">
        <v>0.28000000000000003</v>
      </c>
      <c r="P36" s="12">
        <f t="shared" si="0"/>
        <v>0.45959509187351161</v>
      </c>
      <c r="Q36" s="1">
        <f t="shared" si="4"/>
        <v>0.45959509187351161</v>
      </c>
      <c r="R36">
        <f t="shared" si="1"/>
        <v>0.41512862118156846</v>
      </c>
      <c r="S36">
        <f t="shared" si="2"/>
        <v>0.46117804931562079</v>
      </c>
      <c r="T36" s="1">
        <f>P36</f>
        <v>0.45959509187351161</v>
      </c>
    </row>
    <row r="37" spans="3:20" x14ac:dyDescent="0.25">
      <c r="D37">
        <v>0.34320693291760224</v>
      </c>
      <c r="F37" t="s">
        <v>36</v>
      </c>
      <c r="G37" s="12">
        <f>SQRT(G36)</f>
        <v>7.6135993065956489E-2</v>
      </c>
      <c r="O37" s="2">
        <v>0.28999999999999998</v>
      </c>
      <c r="P37" s="12">
        <f t="shared" si="0"/>
        <v>0.47960222839575539</v>
      </c>
      <c r="Q37" s="1">
        <f t="shared" si="4"/>
        <v>0.47960222839575539</v>
      </c>
      <c r="R37">
        <f t="shared" si="1"/>
        <v>0.42995464336662437</v>
      </c>
      <c r="S37">
        <f t="shared" si="2"/>
        <v>0.48156375863766793</v>
      </c>
      <c r="T37" s="1">
        <f t="shared" ref="T37:T38" si="14">P37</f>
        <v>0.47960222839575539</v>
      </c>
    </row>
    <row r="38" spans="3:20" x14ac:dyDescent="0.25">
      <c r="D38">
        <v>0.42202760328304784</v>
      </c>
      <c r="O38" s="2">
        <v>0.3</v>
      </c>
      <c r="P38" s="12">
        <f t="shared" si="0"/>
        <v>0.49963100369852759</v>
      </c>
      <c r="Q38" s="1">
        <f t="shared" si="4"/>
        <v>0.49963100369852759</v>
      </c>
      <c r="R38">
        <f t="shared" si="1"/>
        <v>0.44478066555168044</v>
      </c>
      <c r="S38">
        <f t="shared" si="2"/>
        <v>0.50201079267807591</v>
      </c>
      <c r="T38" s="1">
        <f t="shared" si="14"/>
        <v>0.49963100369852759</v>
      </c>
    </row>
    <row r="39" spans="3:20" x14ac:dyDescent="0.25">
      <c r="D39">
        <v>0.47457471686001224</v>
      </c>
    </row>
    <row r="40" spans="3:20" x14ac:dyDescent="0.25">
      <c r="D40">
        <v>0.45944334907606937</v>
      </c>
    </row>
    <row r="56" spans="1:5" x14ac:dyDescent="0.25">
      <c r="A56" t="s">
        <v>37</v>
      </c>
    </row>
    <row r="57" spans="1:5" x14ac:dyDescent="0.25">
      <c r="B57" t="s">
        <v>15</v>
      </c>
      <c r="C57" t="s">
        <v>38</v>
      </c>
    </row>
    <row r="59" spans="1:5" x14ac:dyDescent="0.25">
      <c r="D59" t="s">
        <v>39</v>
      </c>
      <c r="E59" s="12">
        <f>NORMSDIST((0-G35)/G37)</f>
        <v>0.22918632886340301</v>
      </c>
    </row>
    <row r="61" spans="1:5" x14ac:dyDescent="0.25">
      <c r="B61" t="s">
        <v>17</v>
      </c>
      <c r="C61" t="s">
        <v>40</v>
      </c>
    </row>
    <row r="63" spans="1:5" x14ac:dyDescent="0.25">
      <c r="C63" t="s">
        <v>41</v>
      </c>
      <c r="D63">
        <v>0</v>
      </c>
    </row>
    <row r="66" spans="2:9" x14ac:dyDescent="0.25">
      <c r="C66" t="s">
        <v>42</v>
      </c>
      <c r="D66" cm="1">
        <f t="array" ref="D66:D71">MMULT(MINVERSE(E13:J18),C13:C18)</f>
        <v>-5.3970099667774249</v>
      </c>
      <c r="E66" s="14" t="s">
        <v>43</v>
      </c>
      <c r="F66">
        <f>D66/$D$73</f>
        <v>-0.55413426115432063</v>
      </c>
      <c r="H66" t="s">
        <v>44</v>
      </c>
      <c r="I66" s="12" cm="1">
        <f t="array" ref="I66">MMULT(TRANSPOSE(F66:F71),$C$13:$C$18)</f>
        <v>8.143276708964374E-2</v>
      </c>
    </row>
    <row r="67" spans="2:9" x14ac:dyDescent="0.25">
      <c r="D67">
        <v>0.5514950166113155</v>
      </c>
      <c r="F67">
        <f t="shared" ref="F67:F71" si="15">D67/$D$73</f>
        <v>5.662436894528794E-2</v>
      </c>
      <c r="H67" t="s">
        <v>45</v>
      </c>
      <c r="I67" cm="1">
        <f t="array" ref="I67">MMULT(MMULT(TRANSPOSE(F66:F71),$E$13:$J$18),F66:F71)</f>
        <v>8.361052972432368E-3</v>
      </c>
    </row>
    <row r="68" spans="2:9" x14ac:dyDescent="0.25">
      <c r="D68">
        <v>3.2308970099667729</v>
      </c>
      <c r="F68">
        <f t="shared" si="15"/>
        <v>0.33173011324873775</v>
      </c>
      <c r="H68" t="s">
        <v>46</v>
      </c>
      <c r="I68" s="12">
        <f>SQRT(I67)</f>
        <v>9.1438793585831873E-2</v>
      </c>
    </row>
    <row r="69" spans="2:9" x14ac:dyDescent="0.25">
      <c r="D69">
        <v>3.4205980066445103</v>
      </c>
      <c r="F69">
        <f t="shared" si="15"/>
        <v>0.35120753172329056</v>
      </c>
    </row>
    <row r="70" spans="2:9" x14ac:dyDescent="0.25">
      <c r="D70">
        <v>3.8803986710963447</v>
      </c>
      <c r="F70">
        <f t="shared" si="15"/>
        <v>0.39841724655478267</v>
      </c>
    </row>
    <row r="71" spans="2:9" x14ac:dyDescent="0.25">
      <c r="D71">
        <v>4.0531561461794023</v>
      </c>
      <c r="F71">
        <f t="shared" si="15"/>
        <v>0.41615500068222172</v>
      </c>
      <c r="H71" s="14" t="s">
        <v>62</v>
      </c>
      <c r="I71">
        <f>NORMSDIST((D63-I66)/I68)</f>
        <v>0.18657959556532291</v>
      </c>
    </row>
    <row r="73" spans="2:9" x14ac:dyDescent="0.25">
      <c r="D73">
        <f>SUM(D66:D72)</f>
        <v>9.7395348837209212</v>
      </c>
      <c r="F73">
        <f>SUM(F66:F72)</f>
        <v>1</v>
      </c>
    </row>
    <row r="77" spans="2:9" x14ac:dyDescent="0.25">
      <c r="B77" t="s">
        <v>47</v>
      </c>
    </row>
    <row r="78" spans="2:9" x14ac:dyDescent="0.25">
      <c r="C78" t="s">
        <v>48</v>
      </c>
      <c r="D78">
        <v>0.25</v>
      </c>
    </row>
    <row r="79" spans="2:9" x14ac:dyDescent="0.25">
      <c r="C79" t="s">
        <v>41</v>
      </c>
      <c r="D79">
        <v>0</v>
      </c>
    </row>
    <row r="81" spans="1:8" x14ac:dyDescent="0.25">
      <c r="C81" t="s">
        <v>49</v>
      </c>
      <c r="E81" t="s">
        <v>50</v>
      </c>
    </row>
    <row r="83" spans="1:8" ht="16.5" thickBot="1" x14ac:dyDescent="0.3"/>
    <row r="84" spans="1:8" ht="16.5" thickBot="1" x14ac:dyDescent="0.3">
      <c r="D84" s="9" t="s">
        <v>51</v>
      </c>
      <c r="E84" s="10">
        <f>D79</f>
        <v>0</v>
      </c>
      <c r="F84" s="17" t="s">
        <v>52</v>
      </c>
      <c r="G84" s="10">
        <f>-NORMSINV(D78)</f>
        <v>0.67448975019608193</v>
      </c>
      <c r="H84" s="11" t="s">
        <v>53</v>
      </c>
    </row>
    <row r="86" spans="1:8" x14ac:dyDescent="0.25">
      <c r="D86" t="s">
        <v>54</v>
      </c>
    </row>
    <row r="90" spans="1:8" x14ac:dyDescent="0.25">
      <c r="A90" t="s">
        <v>55</v>
      </c>
      <c r="C90" t="s">
        <v>56</v>
      </c>
    </row>
    <row r="91" spans="1:8" ht="16.5" thickBot="1" x14ac:dyDescent="0.3"/>
    <row r="92" spans="1:8" ht="16.5" thickBot="1" x14ac:dyDescent="0.3">
      <c r="C92" s="9" t="s">
        <v>63</v>
      </c>
      <c r="D92" s="10"/>
      <c r="E92" s="10"/>
      <c r="F92" s="11"/>
    </row>
    <row r="94" spans="1:8" x14ac:dyDescent="0.25">
      <c r="B94" t="s">
        <v>64</v>
      </c>
      <c r="C94" s="1">
        <f>C13</f>
        <v>0.251</v>
      </c>
      <c r="D94" s="19" t="s">
        <v>57</v>
      </c>
      <c r="E94" t="s">
        <v>65</v>
      </c>
      <c r="F94" s="15" t="s">
        <v>52</v>
      </c>
      <c r="G94">
        <f>E4</f>
        <v>2</v>
      </c>
      <c r="H94" t="s">
        <v>66</v>
      </c>
    </row>
    <row r="95" spans="1:8" x14ac:dyDescent="0.25">
      <c r="D95" s="2"/>
    </row>
    <row r="96" spans="1:8" x14ac:dyDescent="0.25">
      <c r="C96" s="1" t="s">
        <v>65</v>
      </c>
      <c r="D96" s="19">
        <f>-(C94-2*0.15)</f>
        <v>4.8999999999999988E-2</v>
      </c>
    </row>
    <row r="98" spans="2:9" x14ac:dyDescent="0.25">
      <c r="D98" s="12"/>
    </row>
    <row r="99" spans="2:9" x14ac:dyDescent="0.25">
      <c r="C99" t="s">
        <v>67</v>
      </c>
      <c r="D99" s="1">
        <f>D96</f>
        <v>4.8999999999999988E-2</v>
      </c>
      <c r="E99" s="15" t="s">
        <v>52</v>
      </c>
      <c r="F99" t="s">
        <v>58</v>
      </c>
      <c r="G99" s="1">
        <f>I3-D96</f>
        <v>0.10100000000000001</v>
      </c>
    </row>
    <row r="101" spans="2:9" x14ac:dyDescent="0.25">
      <c r="B101" t="s">
        <v>15</v>
      </c>
      <c r="D101" s="18" t="s">
        <v>1</v>
      </c>
      <c r="E101" s="16" t="s">
        <v>68</v>
      </c>
      <c r="F101" s="18"/>
      <c r="G101" s="16"/>
    </row>
    <row r="102" spans="2:9" x14ac:dyDescent="0.25">
      <c r="C102">
        <v>1</v>
      </c>
      <c r="D102" s="1">
        <f>D4</f>
        <v>0.251</v>
      </c>
      <c r="E102" s="1">
        <f>$D$99+E4*$G$99</f>
        <v>0.251</v>
      </c>
      <c r="F102" s="15" t="s">
        <v>69</v>
      </c>
    </row>
    <row r="103" spans="2:9" x14ac:dyDescent="0.25">
      <c r="C103">
        <v>2</v>
      </c>
      <c r="D103" s="1">
        <f t="shared" ref="D103:D107" si="16">D5</f>
        <v>0.19800000000000001</v>
      </c>
      <c r="E103" s="1">
        <f t="shared" ref="E103:E107" si="17">$D$99+E5*$G$99</f>
        <v>0.20050000000000001</v>
      </c>
      <c r="F103" s="15" t="s">
        <v>70</v>
      </c>
    </row>
    <row r="104" spans="2:9" x14ac:dyDescent="0.25">
      <c r="C104">
        <v>3</v>
      </c>
      <c r="D104" s="1">
        <f t="shared" si="16"/>
        <v>0.17</v>
      </c>
      <c r="E104" s="1">
        <f t="shared" si="17"/>
        <v>0.17019999999999999</v>
      </c>
      <c r="F104" s="15" t="s">
        <v>70</v>
      </c>
    </row>
    <row r="105" spans="2:9" x14ac:dyDescent="0.25">
      <c r="C105">
        <v>4</v>
      </c>
      <c r="D105" s="1">
        <f t="shared" si="16"/>
        <v>0.14799999999999999</v>
      </c>
      <c r="E105" s="1">
        <f t="shared" si="17"/>
        <v>0.15</v>
      </c>
      <c r="F105" s="15" t="s">
        <v>70</v>
      </c>
    </row>
    <row r="106" spans="2:9" x14ac:dyDescent="0.25">
      <c r="C106">
        <v>5</v>
      </c>
      <c r="D106" s="1">
        <f t="shared" si="16"/>
        <v>0.128</v>
      </c>
      <c r="E106" s="1">
        <f t="shared" si="17"/>
        <v>0.1298</v>
      </c>
      <c r="F106" s="15" t="s">
        <v>70</v>
      </c>
    </row>
    <row r="107" spans="2:9" x14ac:dyDescent="0.25">
      <c r="C107">
        <v>6</v>
      </c>
      <c r="D107" s="1">
        <f t="shared" si="16"/>
        <v>0.12</v>
      </c>
      <c r="E107" s="1">
        <f t="shared" si="17"/>
        <v>0.11969999999999999</v>
      </c>
      <c r="F107" s="15" t="s">
        <v>71</v>
      </c>
    </row>
    <row r="108" spans="2:9" x14ac:dyDescent="0.25">
      <c r="D108" s="1"/>
      <c r="E108" s="1"/>
    </row>
    <row r="109" spans="2:9" x14ac:dyDescent="0.25">
      <c r="B109" t="s">
        <v>17</v>
      </c>
      <c r="C109" t="s">
        <v>72</v>
      </c>
      <c r="D109" s="1"/>
      <c r="E109" s="1"/>
    </row>
    <row r="111" spans="2:9" x14ac:dyDescent="0.25">
      <c r="D111" t="s">
        <v>1</v>
      </c>
      <c r="F111" t="s">
        <v>12</v>
      </c>
      <c r="I111" t="s">
        <v>13</v>
      </c>
    </row>
    <row r="112" spans="2:9" x14ac:dyDescent="0.25">
      <c r="C112">
        <v>1</v>
      </c>
      <c r="D112" s="1">
        <f>D102</f>
        <v>0.251</v>
      </c>
      <c r="F112">
        <f>E4^2*I4^2+F4</f>
        <v>0.16200000000000003</v>
      </c>
      <c r="G112">
        <f>F113</f>
        <v>5.6000000000000008E-2</v>
      </c>
      <c r="I112">
        <v>1</v>
      </c>
    </row>
    <row r="113" spans="3:9" x14ac:dyDescent="0.25">
      <c r="C113">
        <v>6</v>
      </c>
      <c r="D113" s="1">
        <f>D107</f>
        <v>0.12</v>
      </c>
      <c r="F113">
        <f>E4*E9*I4^2</f>
        <v>5.6000000000000008E-2</v>
      </c>
      <c r="G113">
        <f>E9^2*I4^2+F9</f>
        <v>2.6600000000000002E-2</v>
      </c>
      <c r="I113">
        <v>1</v>
      </c>
    </row>
    <row r="114" spans="3:9" x14ac:dyDescent="0.25">
      <c r="D114" s="1"/>
    </row>
    <row r="116" spans="3:9" x14ac:dyDescent="0.25">
      <c r="C116" t="s">
        <v>59</v>
      </c>
    </row>
    <row r="117" spans="3:9" x14ac:dyDescent="0.25">
      <c r="C117">
        <v>0.51668641016515426</v>
      </c>
      <c r="E117" t="s">
        <v>1</v>
      </c>
      <c r="F117" cm="1">
        <f t="array" ref="F117">MMULT(TRANSPOSE(C117:C118),$D$112:$D$113)</f>
        <v>0.18768591973154361</v>
      </c>
      <c r="G117" t="s">
        <v>74</v>
      </c>
    </row>
    <row r="118" spans="3:9" x14ac:dyDescent="0.25">
      <c r="C118">
        <v>0.48331358983408235</v>
      </c>
      <c r="E118" t="s">
        <v>61</v>
      </c>
      <c r="F118" cm="1">
        <f t="array" ref="F118">MMULT(MMULT(TRANSPOSE(C117:C118),$F$112:$G$113),C117:C118)</f>
        <v>7.7430668155667806E-2</v>
      </c>
    </row>
    <row r="119" spans="3:9" x14ac:dyDescent="0.25">
      <c r="E119" t="s">
        <v>7</v>
      </c>
      <c r="F119">
        <f>SQRT(F118)</f>
        <v>0.27826366661076651</v>
      </c>
    </row>
    <row r="120" spans="3:9" x14ac:dyDescent="0.25">
      <c r="C120">
        <f>SUM(C117:C118)</f>
        <v>0.99999999999923661</v>
      </c>
      <c r="E120" t="s">
        <v>5</v>
      </c>
      <c r="F120">
        <f>C117*$E$4+C118*$E$9</f>
        <v>1.3716923332141662</v>
      </c>
    </row>
    <row r="121" spans="3:9" x14ac:dyDescent="0.25">
      <c r="E121" t="s">
        <v>73</v>
      </c>
      <c r="F121">
        <f>NORMSDIST((0-F117)/F119)</f>
        <v>0.25000008136668267</v>
      </c>
    </row>
    <row r="124" spans="3:9" x14ac:dyDescent="0.25">
      <c r="C124" t="s">
        <v>75</v>
      </c>
    </row>
    <row r="125" spans="3:9" x14ac:dyDescent="0.25">
      <c r="C125" t="s">
        <v>76</v>
      </c>
    </row>
    <row r="127" spans="3:9" x14ac:dyDescent="0.25">
      <c r="C127" t="s">
        <v>26</v>
      </c>
      <c r="D127" cm="1">
        <f t="array" ref="D127">MMULT(MMULT(TRANSPOSE(I112:I113),MINVERSE(F112:G113)),I112:I113)</f>
        <v>65.291510398908983</v>
      </c>
    </row>
    <row r="128" spans="3:9" x14ac:dyDescent="0.25">
      <c r="C128" t="s">
        <v>28</v>
      </c>
      <c r="D128" cm="1">
        <f t="array" ref="D128">MMULT(MMULT(TRANSPOSE(I112:I113),MINVERSE(F112:G113)),D112:D113)</f>
        <v>4.5521650187521319</v>
      </c>
    </row>
    <row r="129" spans="1:8" x14ac:dyDescent="0.25">
      <c r="C129" t="s">
        <v>30</v>
      </c>
      <c r="D129" cm="1">
        <f t="array" ref="D129">MMULT(MMULT(TRANSPOSE(D112:D113),MINVERSE(F112:G113)),D112:D113)</f>
        <v>0.54141374019774979</v>
      </c>
    </row>
    <row r="131" spans="1:8" x14ac:dyDescent="0.25">
      <c r="C131" t="s">
        <v>31</v>
      </c>
      <c r="D131">
        <f>D127*D129-D128^2</f>
        <v>14.627514490282991</v>
      </c>
    </row>
    <row r="132" spans="1:8" ht="16.5" thickBot="1" x14ac:dyDescent="0.3"/>
    <row r="133" spans="1:8" ht="16.5" thickBot="1" x14ac:dyDescent="0.3">
      <c r="C133" s="9" t="s">
        <v>19</v>
      </c>
      <c r="D133" s="10">
        <f>D127/D131</f>
        <v>4.4636093467746631</v>
      </c>
      <c r="E133" s="10" t="s">
        <v>20</v>
      </c>
      <c r="F133" s="10">
        <f>-2*D128/D131</f>
        <v>-0.62241128139385815</v>
      </c>
      <c r="G133" s="10" t="s">
        <v>21</v>
      </c>
      <c r="H133" s="11">
        <f>D129/D131</f>
        <v>3.7013379173707818E-2</v>
      </c>
    </row>
    <row r="134" spans="1:8" x14ac:dyDescent="0.25">
      <c r="D134">
        <f>D133*F117^2+F133*F117+H133</f>
        <v>7.7430668155635124E-2</v>
      </c>
    </row>
    <row r="135" spans="1:8" x14ac:dyDescent="0.25">
      <c r="D135" t="s">
        <v>96</v>
      </c>
    </row>
    <row r="137" spans="1:8" x14ac:dyDescent="0.25">
      <c r="A137" t="s">
        <v>77</v>
      </c>
      <c r="C137" t="s">
        <v>78</v>
      </c>
      <c r="D137">
        <v>0.05</v>
      </c>
      <c r="G137" t="s">
        <v>81</v>
      </c>
    </row>
    <row r="138" spans="1:8" x14ac:dyDescent="0.25">
      <c r="G138" s="1">
        <f>C13-$D$137</f>
        <v>0.20100000000000001</v>
      </c>
      <c r="H138">
        <v>1</v>
      </c>
    </row>
    <row r="139" spans="1:8" x14ac:dyDescent="0.25">
      <c r="B139" t="s">
        <v>15</v>
      </c>
      <c r="C139" t="s">
        <v>79</v>
      </c>
      <c r="G139" s="1">
        <f t="shared" ref="G139:G143" si="18">C14-$D$137</f>
        <v>0.14800000000000002</v>
      </c>
      <c r="H139">
        <v>2</v>
      </c>
    </row>
    <row r="140" spans="1:8" x14ac:dyDescent="0.25">
      <c r="G140" s="1">
        <f t="shared" si="18"/>
        <v>0.12000000000000001</v>
      </c>
      <c r="H140">
        <v>3</v>
      </c>
    </row>
    <row r="141" spans="1:8" x14ac:dyDescent="0.25">
      <c r="G141" s="1">
        <f t="shared" si="18"/>
        <v>9.799999999999999E-2</v>
      </c>
      <c r="H141">
        <v>4</v>
      </c>
    </row>
    <row r="142" spans="1:8" x14ac:dyDescent="0.25">
      <c r="G142" s="1">
        <f t="shared" si="18"/>
        <v>7.8E-2</v>
      </c>
      <c r="H142">
        <v>5</v>
      </c>
    </row>
    <row r="143" spans="1:8" x14ac:dyDescent="0.25">
      <c r="G143" s="1">
        <f t="shared" si="18"/>
        <v>6.9999999999999993E-2</v>
      </c>
      <c r="H143">
        <v>6</v>
      </c>
    </row>
    <row r="144" spans="1:8" x14ac:dyDescent="0.25">
      <c r="C144" t="s">
        <v>80</v>
      </c>
    </row>
    <row r="146" spans="2:11" x14ac:dyDescent="0.25">
      <c r="C146" t="s">
        <v>42</v>
      </c>
      <c r="D146" t="s">
        <v>82</v>
      </c>
    </row>
    <row r="147" spans="2:11" x14ac:dyDescent="0.25">
      <c r="C147" cm="1">
        <f t="array" ref="C147:C152">MMULT(MINVERSE(E13:J18),G138:G143)</f>
        <v>1.4017560512576983</v>
      </c>
      <c r="D147">
        <f t="shared" ref="D147:D152" si="19">C147/$C$154</f>
        <v>1.2583971254491386</v>
      </c>
    </row>
    <row r="148" spans="2:11" x14ac:dyDescent="0.25">
      <c r="C148">
        <v>-0.21578864103779172</v>
      </c>
      <c r="D148">
        <f t="shared" si="19"/>
        <v>-0.1937197312919692</v>
      </c>
      <c r="F148" t="s">
        <v>1</v>
      </c>
      <c r="G148" cm="1">
        <f t="array" ref="G148">MMULT(TRANSPOSE(D147:D152),$C$13:$C$18)</f>
        <v>0.27483124795841557</v>
      </c>
    </row>
    <row r="149" spans="2:11" x14ac:dyDescent="0.25">
      <c r="C149">
        <v>0.27052681537731382</v>
      </c>
      <c r="D149">
        <f t="shared" si="19"/>
        <v>0.24285978043203538</v>
      </c>
      <c r="F149" t="s">
        <v>61</v>
      </c>
      <c r="G149" cm="1">
        <f t="array" ref="G149">MMULT(MMULT(TRANSPOSE(D147:D152),$E$13:$J$18),D147:D152)</f>
        <v>0.20183754219442196</v>
      </c>
    </row>
    <row r="150" spans="2:11" x14ac:dyDescent="0.25">
      <c r="C150">
        <v>-0.21964878974845853</v>
      </c>
      <c r="D150">
        <f t="shared" si="19"/>
        <v>-0.1971850989192043</v>
      </c>
      <c r="F150" t="s">
        <v>7</v>
      </c>
      <c r="G150">
        <f>SQRT(G149)</f>
        <v>0.44926333279539066</v>
      </c>
    </row>
    <row r="151" spans="2:11" x14ac:dyDescent="0.25">
      <c r="C151">
        <v>-0.21309919316564202</v>
      </c>
      <c r="D151">
        <f t="shared" si="19"/>
        <v>-0.19130533581401005</v>
      </c>
      <c r="F151" t="s">
        <v>5</v>
      </c>
      <c r="G151" cm="1">
        <f t="array" ref="G151">MMULT(TRANSPOSE(D147:D152),$E$4:$E$9)</f>
        <v>2.2240843050091601</v>
      </c>
    </row>
    <row r="152" spans="2:11" x14ac:dyDescent="0.25">
      <c r="C152">
        <v>9.0175605125768499E-2</v>
      </c>
      <c r="D152">
        <f t="shared" si="19"/>
        <v>8.0953260144009304E-2</v>
      </c>
      <c r="F152" t="s">
        <v>73</v>
      </c>
      <c r="G152">
        <f>NORMSDIST((0-G148)/G150)</f>
        <v>0.27035570876443005</v>
      </c>
    </row>
    <row r="153" spans="2:11" x14ac:dyDescent="0.25">
      <c r="F153" t="s">
        <v>83</v>
      </c>
      <c r="G153">
        <f>(G148-D137)/G150</f>
        <v>0.50044424182022251</v>
      </c>
    </row>
    <row r="154" spans="2:11" x14ac:dyDescent="0.25">
      <c r="C154">
        <f>SUM(_xlfn.ANCHORARRAY(C147))</f>
        <v>1.1139218478088886</v>
      </c>
      <c r="D154">
        <f>SUM(D147:D152)</f>
        <v>0.99999999999999978</v>
      </c>
    </row>
    <row r="156" spans="2:11" x14ac:dyDescent="0.25">
      <c r="C156" t="s">
        <v>84</v>
      </c>
      <c r="D156" t="s">
        <v>51</v>
      </c>
      <c r="E156">
        <f>D137</f>
        <v>0.05</v>
      </c>
      <c r="F156" s="15" t="s">
        <v>52</v>
      </c>
      <c r="G156">
        <f>G153</f>
        <v>0.50044424182022251</v>
      </c>
      <c r="H156" t="s">
        <v>53</v>
      </c>
      <c r="I156" t="s">
        <v>85</v>
      </c>
      <c r="J156" t="s">
        <v>86</v>
      </c>
      <c r="K156">
        <f>G150</f>
        <v>0.44926333279539066</v>
      </c>
    </row>
    <row r="157" spans="2:11" x14ac:dyDescent="0.25">
      <c r="C157" t="s">
        <v>87</v>
      </c>
    </row>
    <row r="160" spans="2:11" x14ac:dyDescent="0.25">
      <c r="B160" t="s">
        <v>17</v>
      </c>
      <c r="C160" t="s">
        <v>88</v>
      </c>
    </row>
    <row r="163" spans="2:8" x14ac:dyDescent="0.25">
      <c r="B163" t="s">
        <v>89</v>
      </c>
      <c r="C163" t="s">
        <v>93</v>
      </c>
    </row>
    <row r="164" spans="2:8" x14ac:dyDescent="0.25">
      <c r="D164" t="s">
        <v>82</v>
      </c>
    </row>
    <row r="165" spans="2:8" x14ac:dyDescent="0.25">
      <c r="D165" s="20"/>
    </row>
    <row r="166" spans="2:8" x14ac:dyDescent="0.25">
      <c r="C166" t="s">
        <v>94</v>
      </c>
      <c r="D166" s="20">
        <v>0.63945062455142043</v>
      </c>
      <c r="F166" t="s">
        <v>1</v>
      </c>
      <c r="G166">
        <f>D166*G148+D167*D137</f>
        <v>0.19376848192568411</v>
      </c>
      <c r="H166" t="s">
        <v>60</v>
      </c>
    </row>
    <row r="167" spans="2:8" x14ac:dyDescent="0.25">
      <c r="C167" t="s">
        <v>95</v>
      </c>
      <c r="D167" s="20">
        <f>1-D166</f>
        <v>0.36054937544857957</v>
      </c>
      <c r="F167" t="s">
        <v>61</v>
      </c>
      <c r="G167">
        <f>G168^2</f>
        <v>8.2530785924544187E-2</v>
      </c>
    </row>
    <row r="168" spans="2:8" x14ac:dyDescent="0.25">
      <c r="D168" s="20"/>
      <c r="F168" t="s">
        <v>7</v>
      </c>
      <c r="G168">
        <f>D166*G150</f>
        <v>0.28728171874406522</v>
      </c>
    </row>
    <row r="169" spans="2:8" x14ac:dyDescent="0.25">
      <c r="D169" s="20"/>
      <c r="F169" t="s">
        <v>5</v>
      </c>
      <c r="G169">
        <f>G151*D166</f>
        <v>1.4221920978931193</v>
      </c>
    </row>
    <row r="170" spans="2:8" x14ac:dyDescent="0.25">
      <c r="D170" s="20"/>
      <c r="F170" t="s">
        <v>73</v>
      </c>
      <c r="G170">
        <f>NORMSDIST((0-G166)/G168)</f>
        <v>0.25000010263510353</v>
      </c>
    </row>
    <row r="174" spans="2:8" x14ac:dyDescent="0.25">
      <c r="C174" t="s">
        <v>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Raquel M. Gaspar</cp:lastModifiedBy>
  <cp:revision/>
  <dcterms:created xsi:type="dcterms:W3CDTF">2021-12-10T14:34:31Z</dcterms:created>
  <dcterms:modified xsi:type="dcterms:W3CDTF">2024-11-26T12:48:31Z</dcterms:modified>
  <cp:category/>
  <cp:contentStatus/>
</cp:coreProperties>
</file>