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Docs\Textos\Próprios\ISEG\Financial Markets\2025-2026\"/>
    </mc:Choice>
  </mc:AlternateContent>
  <xr:revisionPtr revIDLastSave="0" documentId="8_{DFD7B94A-D5BB-44A0-95B1-00C104925B5B}" xr6:coauthVersionLast="47" xr6:coauthVersionMax="47" xr10:uidLastSave="{00000000-0000-0000-0000-000000000000}"/>
  <bookViews>
    <workbookView xWindow="-110" yWindow="-110" windowWidth="24220" windowHeight="15500" xr2:uid="{00000000-000D-0000-FFFF-FFFF00000000}"/>
  </bookViews>
  <sheets>
    <sheet name="Sheet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2" i="2" l="1"/>
  <c r="H28" i="2"/>
  <c r="E96" i="2"/>
  <c r="D99" i="2" s="1"/>
  <c r="D96" i="2"/>
  <c r="D98" i="2" s="1"/>
  <c r="D69" i="2" l="1"/>
  <c r="H108" i="2" l="1"/>
  <c r="A15" i="2" l="1"/>
  <c r="A4" i="2"/>
  <c r="E109" i="2" l="1"/>
  <c r="E111" i="2" s="1"/>
  <c r="G108" i="2"/>
  <c r="F108" i="2"/>
  <c r="E108" i="2"/>
  <c r="D85" i="2"/>
  <c r="D75" i="2"/>
  <c r="D74" i="2"/>
  <c r="D68" i="2"/>
  <c r="D79" i="2" l="1"/>
  <c r="D84" i="2" s="1"/>
  <c r="E116" i="2"/>
  <c r="E112" i="2"/>
  <c r="D80" i="2"/>
  <c r="F109" i="2"/>
  <c r="F111" i="2" l="1"/>
  <c r="G109" i="2"/>
  <c r="D40" i="2"/>
  <c r="D39" i="2"/>
  <c r="G111" i="2" l="1"/>
  <c r="H109" i="2"/>
  <c r="H111" i="2" s="1"/>
  <c r="G116" i="2"/>
  <c r="G112" i="2"/>
  <c r="F116" i="2"/>
  <c r="F112" i="2"/>
  <c r="D30" i="2"/>
  <c r="G26" i="2"/>
  <c r="G39" i="2" s="1"/>
  <c r="G27" i="2"/>
  <c r="G40" i="2" s="1"/>
  <c r="F26" i="2"/>
  <c r="F39" i="2" s="1"/>
  <c r="D26" i="2"/>
  <c r="K19" i="2"/>
  <c r="J19" i="2"/>
  <c r="H112" i="2" l="1"/>
  <c r="D113" i="2" s="1"/>
  <c r="D117" i="2" s="1"/>
  <c r="D118" i="2" s="1"/>
  <c r="H116" i="2"/>
  <c r="E26" i="2"/>
  <c r="D70" i="2"/>
  <c r="D81" i="2" s="1"/>
  <c r="D35" i="2"/>
  <c r="D71" i="2"/>
  <c r="G30" i="2"/>
  <c r="D34" i="2"/>
  <c r="F27" i="2"/>
  <c r="E30" i="2"/>
  <c r="G31" i="2"/>
  <c r="F30" i="2"/>
  <c r="M18" i="2"/>
  <c r="F40" i="2" l="1"/>
  <c r="I39" i="2" s="1" a="1"/>
  <c r="F31" i="2"/>
  <c r="H30" i="2" s="1" a="1"/>
  <c r="H26" i="2" a="1"/>
  <c r="I30" i="2" l="1"/>
  <c r="H30" i="2"/>
  <c r="D32" i="2" s="1"/>
  <c r="D122" i="2" s="1"/>
  <c r="H26" i="2"/>
  <c r="I26" i="2"/>
  <c r="I39" i="2"/>
  <c r="I40" i="2"/>
  <c r="J39" i="2"/>
  <c r="J40" i="2"/>
  <c r="D28" i="2" l="1"/>
  <c r="D121" i="2" s="1"/>
  <c r="D43" i="2" a="1"/>
  <c r="D43" i="2" l="1"/>
  <c r="D44" i="2"/>
  <c r="D45" i="2" l="1"/>
  <c r="D49" i="2" s="1"/>
  <c r="G48" i="2" s="1"/>
  <c r="D48" i="2" l="1"/>
  <c r="D55" i="2" s="1"/>
  <c r="D58" i="2" s="1"/>
  <c r="D50" i="2" l="1"/>
  <c r="F48" i="2"/>
  <c r="I48" i="2" s="1" a="1"/>
  <c r="J48" i="2" s="1"/>
  <c r="I48" i="2" l="1"/>
  <c r="D56" i="2"/>
  <c r="D61" i="2" s="1"/>
  <c r="E61" i="2" s="1"/>
  <c r="D62" i="2" l="1"/>
  <c r="E62" i="2" s="1"/>
  <c r="D60" i="2"/>
  <c r="D63" i="2" l="1"/>
  <c r="E60" i="2"/>
  <c r="E63" i="2" s="1"/>
</calcChain>
</file>

<file path=xl/sharedStrings.xml><?xml version="1.0" encoding="utf-8"?>
<sst xmlns="http://schemas.openxmlformats.org/spreadsheetml/2006/main" count="118" uniqueCount="94">
  <si>
    <t>Covariance</t>
  </si>
  <si>
    <r>
      <t>E[R</t>
    </r>
    <r>
      <rPr>
        <vertAlign val="subscript"/>
        <sz val="10"/>
        <color theme="1"/>
        <rFont val="Calibri"/>
        <family val="2"/>
      </rPr>
      <t>i</t>
    </r>
    <r>
      <rPr>
        <sz val="10"/>
        <color theme="1"/>
        <rFont val="Calibri"/>
        <family val="2"/>
      </rPr>
      <t>]</t>
    </r>
  </si>
  <si>
    <r>
      <t>s</t>
    </r>
    <r>
      <rPr>
        <vertAlign val="subscript"/>
        <sz val="10"/>
        <color theme="1"/>
        <rFont val="Calibri"/>
        <family val="2"/>
      </rPr>
      <t>i</t>
    </r>
  </si>
  <si>
    <t xml:space="preserve">Risk Free </t>
  </si>
  <si>
    <t>1)</t>
  </si>
  <si>
    <t>2)</t>
  </si>
  <si>
    <t>3)</t>
  </si>
  <si>
    <t>4)</t>
  </si>
  <si>
    <t>Rp</t>
  </si>
  <si>
    <r>
      <t>s</t>
    </r>
    <r>
      <rPr>
        <vertAlign val="subscript"/>
        <sz val="10"/>
        <color theme="1"/>
        <rFont val="Calibri"/>
        <family val="2"/>
      </rPr>
      <t>p</t>
    </r>
  </si>
  <si>
    <t>I</t>
  </si>
  <si>
    <t>II</t>
  </si>
  <si>
    <t>Ri-Rf</t>
  </si>
  <si>
    <t>Sum Zi</t>
  </si>
  <si>
    <t>Zi (solution)</t>
  </si>
  <si>
    <t>Xi</t>
  </si>
  <si>
    <t>Sum Xi</t>
  </si>
  <si>
    <r>
      <t>X</t>
    </r>
    <r>
      <rPr>
        <b/>
        <vertAlign val="superscript"/>
        <sz val="11"/>
        <color theme="1"/>
        <rFont val="Calibri"/>
        <family val="2"/>
        <scheme val="minor"/>
      </rPr>
      <t>T</t>
    </r>
  </si>
  <si>
    <r>
      <t>X</t>
    </r>
    <r>
      <rPr>
        <b/>
        <vertAlign val="superscript"/>
        <sz val="11"/>
        <color theme="1"/>
        <rFont val="Calibri"/>
        <family val="2"/>
        <scheme val="minor"/>
      </rPr>
      <t>T</t>
    </r>
    <r>
      <rPr>
        <b/>
        <sz val="11"/>
        <color theme="1"/>
        <rFont val="Symbol"/>
        <family val="1"/>
        <charset val="2"/>
      </rPr>
      <t>S</t>
    </r>
  </si>
  <si>
    <r>
      <t>Inverse variance-covariance Matrix (</t>
    </r>
    <r>
      <rPr>
        <b/>
        <sz val="11"/>
        <color theme="1"/>
        <rFont val="Symbol"/>
        <family val="1"/>
        <charset val="2"/>
      </rPr>
      <t>S</t>
    </r>
    <r>
      <rPr>
        <b/>
        <vertAlign val="superscript"/>
        <sz val="11"/>
        <color theme="1"/>
        <rFont val="Symbol"/>
        <family val="1"/>
        <charset val="2"/>
      </rPr>
      <t>-1</t>
    </r>
    <r>
      <rPr>
        <b/>
        <sz val="11"/>
        <color theme="1"/>
        <rFont val="Calibri"/>
        <family val="2"/>
        <scheme val="minor"/>
      </rPr>
      <t>)</t>
    </r>
  </si>
  <si>
    <t>b)</t>
  </si>
  <si>
    <t>a)</t>
  </si>
  <si>
    <t>Correlation</t>
  </si>
  <si>
    <t>Xi,a</t>
  </si>
  <si>
    <t>Xi,b</t>
  </si>
  <si>
    <t>XT</t>
  </si>
  <si>
    <r>
      <t>Var-covar Matrix (</t>
    </r>
    <r>
      <rPr>
        <b/>
        <sz val="11"/>
        <color theme="1"/>
        <rFont val="Symbol"/>
        <family val="1"/>
        <charset val="2"/>
      </rPr>
      <t>S</t>
    </r>
    <r>
      <rPr>
        <b/>
        <sz val="11"/>
        <color theme="1"/>
        <rFont val="Calibri"/>
        <family val="2"/>
        <scheme val="minor"/>
      </rPr>
      <t>)</t>
    </r>
  </si>
  <si>
    <r>
      <t xml:space="preserve">XT </t>
    </r>
    <r>
      <rPr>
        <b/>
        <sz val="10"/>
        <color theme="1"/>
        <rFont val="Symbol"/>
        <family val="1"/>
        <charset val="2"/>
      </rPr>
      <t>S</t>
    </r>
  </si>
  <si>
    <t>a.</t>
  </si>
  <si>
    <t>b.</t>
  </si>
  <si>
    <t>E[Ra]</t>
  </si>
  <si>
    <t>E[Rb]</t>
  </si>
  <si>
    <r>
      <t>s</t>
    </r>
    <r>
      <rPr>
        <b/>
        <vertAlign val="subscript"/>
        <sz val="10"/>
        <color rgb="FFFF0000"/>
        <rFont val="Calibri"/>
        <family val="2"/>
      </rPr>
      <t>a</t>
    </r>
  </si>
  <si>
    <t>a. is the solution that minimizes the risk</t>
  </si>
  <si>
    <t>b. is the solution that maxmizes the return</t>
  </si>
  <si>
    <t>Xf</t>
  </si>
  <si>
    <t>Sum</t>
  </si>
  <si>
    <t>P</t>
  </si>
  <si>
    <t>E[Rp]*</t>
  </si>
  <si>
    <t>Buy the risk free asset / lend at the risk free rate</t>
  </si>
  <si>
    <t>5)</t>
  </si>
  <si>
    <t>L’Oreal</t>
  </si>
  <si>
    <t>Volkswagen</t>
  </si>
  <si>
    <t>Market</t>
  </si>
  <si>
    <r>
      <t>s</t>
    </r>
    <r>
      <rPr>
        <b/>
        <vertAlign val="subscript"/>
        <sz val="10"/>
        <color rgb="FFFF0000"/>
        <rFont val="Calibri"/>
        <family val="2"/>
      </rPr>
      <t>b</t>
    </r>
  </si>
  <si>
    <t>X L'Oreal</t>
  </si>
  <si>
    <t>X Volkswagen</t>
  </si>
  <si>
    <t>X Risky Assets</t>
  </si>
  <si>
    <t>%</t>
  </si>
  <si>
    <t>€</t>
  </si>
  <si>
    <t>b</t>
  </si>
  <si>
    <r>
      <t>P</t>
    </r>
    <r>
      <rPr>
        <b/>
        <vertAlign val="subscript"/>
        <sz val="11"/>
        <color rgb="FFFF0000"/>
        <rFont val="Calibri"/>
        <family val="2"/>
        <scheme val="minor"/>
      </rPr>
      <t>1</t>
    </r>
  </si>
  <si>
    <r>
      <t>P</t>
    </r>
    <r>
      <rPr>
        <b/>
        <vertAlign val="subscript"/>
        <sz val="11"/>
        <color rgb="FFFF0000"/>
        <rFont val="Calibri"/>
        <family val="2"/>
        <scheme val="minor"/>
      </rPr>
      <t>2</t>
    </r>
  </si>
  <si>
    <t>6)</t>
  </si>
  <si>
    <r>
      <t>[R</t>
    </r>
    <r>
      <rPr>
        <vertAlign val="subscript"/>
        <sz val="11"/>
        <color theme="1"/>
        <rFont val="Calibri"/>
        <family val="2"/>
        <scheme val="minor"/>
      </rPr>
      <t>m</t>
    </r>
    <r>
      <rPr>
        <sz val="11"/>
        <color theme="1"/>
        <rFont val="Calibri"/>
        <family val="2"/>
        <scheme val="minor"/>
      </rPr>
      <t>-R</t>
    </r>
    <r>
      <rPr>
        <vertAlign val="subscript"/>
        <sz val="11"/>
        <color theme="1"/>
        <rFont val="Calibri"/>
        <family val="2"/>
        <scheme val="minor"/>
      </rPr>
      <t>f</t>
    </r>
    <r>
      <rPr>
        <sz val="11"/>
        <color theme="1"/>
        <rFont val="Calibri"/>
        <family val="2"/>
        <scheme val="minor"/>
      </rPr>
      <t>]</t>
    </r>
  </si>
  <si>
    <r>
      <rPr>
        <sz val="11"/>
        <color theme="1"/>
        <rFont val="Calibri"/>
        <family val="2"/>
        <scheme val="minor"/>
      </rPr>
      <t>R</t>
    </r>
    <r>
      <rPr>
        <vertAlign val="subscript"/>
        <sz val="11"/>
        <color theme="1"/>
        <rFont val="Calibri"/>
        <family val="2"/>
        <scheme val="minor"/>
      </rPr>
      <t>f</t>
    </r>
  </si>
  <si>
    <t>7)</t>
  </si>
  <si>
    <t>8)</t>
  </si>
  <si>
    <r>
      <t>E[R</t>
    </r>
    <r>
      <rPr>
        <b/>
        <vertAlign val="subscript"/>
        <sz val="11"/>
        <color theme="1"/>
        <rFont val="Calibri"/>
        <family val="2"/>
        <scheme val="minor"/>
      </rPr>
      <t>i</t>
    </r>
    <r>
      <rPr>
        <b/>
        <sz val="11"/>
        <color theme="1"/>
        <rFont val="Calibri"/>
        <family val="2"/>
        <scheme val="minor"/>
      </rPr>
      <t>]</t>
    </r>
  </si>
  <si>
    <r>
      <t>CAPM E[R</t>
    </r>
    <r>
      <rPr>
        <vertAlign val="subscript"/>
        <sz val="11"/>
        <color theme="1"/>
        <rFont val="Calibri"/>
        <family val="2"/>
        <scheme val="minor"/>
      </rPr>
      <t>i</t>
    </r>
    <r>
      <rPr>
        <sz val="11"/>
        <color theme="1"/>
        <rFont val="Calibri"/>
        <family val="2"/>
        <scheme val="minor"/>
      </rPr>
      <t>]</t>
    </r>
  </si>
  <si>
    <r>
      <t>Analyst E[R</t>
    </r>
    <r>
      <rPr>
        <vertAlign val="subscript"/>
        <sz val="11"/>
        <color theme="1"/>
        <rFont val="Calibri"/>
        <family val="2"/>
        <scheme val="minor"/>
      </rPr>
      <t>i</t>
    </r>
    <r>
      <rPr>
        <sz val="11"/>
        <color theme="1"/>
        <rFont val="Calibri"/>
        <family val="2"/>
        <scheme val="minor"/>
      </rPr>
      <t>]</t>
    </r>
  </si>
  <si>
    <t>9)</t>
  </si>
  <si>
    <t>Announced Dividend</t>
  </si>
  <si>
    <t>Dividend growth rate</t>
  </si>
  <si>
    <t>Expected Dividend yield</t>
  </si>
  <si>
    <t>10)</t>
  </si>
  <si>
    <t>Coupon rate</t>
  </si>
  <si>
    <t>Principal</t>
  </si>
  <si>
    <t>11)</t>
  </si>
  <si>
    <t>Life</t>
  </si>
  <si>
    <t>years</t>
  </si>
  <si>
    <t>Required yield</t>
  </si>
  <si>
    <t>Discount factor</t>
  </si>
  <si>
    <t>Coupons</t>
  </si>
  <si>
    <t>Cash Flows</t>
  </si>
  <si>
    <t>DCF</t>
  </si>
  <si>
    <t>Price</t>
  </si>
  <si>
    <t>Duration</t>
  </si>
  <si>
    <t>Modified Duration</t>
  </si>
  <si>
    <r>
      <t>Sh</t>
    </r>
    <r>
      <rPr>
        <b/>
        <vertAlign val="subscript"/>
        <sz val="11"/>
        <color rgb="FFFF0000"/>
        <rFont val="Calibri"/>
        <family val="2"/>
        <scheme val="minor"/>
      </rPr>
      <t>a</t>
    </r>
  </si>
  <si>
    <r>
      <t>Sh</t>
    </r>
    <r>
      <rPr>
        <b/>
        <vertAlign val="subscript"/>
        <sz val="11"/>
        <color rgb="FFFF0000"/>
        <rFont val="Calibri"/>
        <family val="2"/>
        <scheme val="minor"/>
      </rPr>
      <t>b</t>
    </r>
  </si>
  <si>
    <t>Portfolio a is the most efficient one.</t>
  </si>
  <si>
    <t>EXAM SOLUTIONS</t>
  </si>
  <si>
    <t>B</t>
  </si>
  <si>
    <t>A</t>
  </si>
  <si>
    <t>D</t>
  </si>
  <si>
    <t>C</t>
  </si>
  <si>
    <t>TOTAL PART I</t>
  </si>
  <si>
    <t>TOTAL PART II</t>
  </si>
  <si>
    <t>Buy the L'Oreal</t>
  </si>
  <si>
    <t>Buy the Volkswagen</t>
  </si>
  <si>
    <t>Time:</t>
  </si>
  <si>
    <t>Shareholder stock return</t>
  </si>
  <si>
    <r>
      <t>b</t>
    </r>
    <r>
      <rPr>
        <sz val="18"/>
        <color rgb="FF000000"/>
        <rFont val="Times New Roman"/>
        <family val="1"/>
      </rPr>
      <t>=COV(X,Y)/Var(X)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</si>
</sst>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2]\ * #,##0.00_);_([$€-2]\ * \(#,##0.00\);_([$€-2]\ * &quot;-&quot;??_);_(@_)"/>
    <numFmt numFmtId="165" formatCode="0.0%"/>
    <numFmt numFmtId="166" formatCode="0.000"/>
    <numFmt numFmtId="167" formatCode="0.000000%"/>
    <numFmt numFmtId="168" formatCode="0.000%"/>
    <numFmt numFmtId="169" formatCode="0.0000"/>
    <numFmt numFmtId="170" formatCode="[$€-2]\ #,##0.00;[Red]\-[$€-2]\ #,##0.00"/>
    <numFmt numFmtId="171" formatCode="[$€-2]\ #,##0;[Red]\-[$€-2]\ #,##0"/>
  </numFmts>
  <fonts count="27" x14ac:knownFonts="1">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font>
    <font>
      <b/>
      <sz val="11"/>
      <color rgb="FFFF0000"/>
      <name val="Calibri"/>
      <family val="2"/>
      <scheme val="minor"/>
    </font>
    <font>
      <vertAlign val="subscript"/>
      <sz val="10"/>
      <color theme="1"/>
      <name val="Calibri"/>
      <family val="2"/>
    </font>
    <font>
      <sz val="10"/>
      <color theme="1"/>
      <name val="Symbol"/>
      <family val="1"/>
      <charset val="2"/>
    </font>
    <font>
      <b/>
      <sz val="10"/>
      <color theme="1"/>
      <name val="Calibri"/>
      <family val="2"/>
    </font>
    <font>
      <sz val="11"/>
      <color theme="1"/>
      <name val="Symbol"/>
      <family val="1"/>
      <charset val="2"/>
    </font>
    <font>
      <b/>
      <sz val="16"/>
      <color rgb="FFFF0000"/>
      <name val="Calibri"/>
      <family val="2"/>
      <scheme val="minor"/>
    </font>
    <font>
      <b/>
      <vertAlign val="superscript"/>
      <sz val="11"/>
      <color theme="1"/>
      <name val="Calibri"/>
      <family val="2"/>
      <scheme val="minor"/>
    </font>
    <font>
      <b/>
      <sz val="11"/>
      <color theme="1"/>
      <name val="Symbol"/>
      <family val="1"/>
      <charset val="2"/>
    </font>
    <font>
      <b/>
      <vertAlign val="superscript"/>
      <sz val="11"/>
      <color theme="1"/>
      <name val="Symbol"/>
      <family val="1"/>
      <charset val="2"/>
    </font>
    <font>
      <b/>
      <vertAlign val="subscript"/>
      <sz val="11"/>
      <color theme="1"/>
      <name val="Calibri"/>
      <family val="2"/>
      <scheme val="minor"/>
    </font>
    <font>
      <b/>
      <sz val="10"/>
      <color theme="1"/>
      <name val="Symbol"/>
      <family val="1"/>
      <charset val="2"/>
    </font>
    <font>
      <b/>
      <sz val="10"/>
      <color rgb="FFFF0000"/>
      <name val="Symbol"/>
      <family val="1"/>
      <charset val="2"/>
    </font>
    <font>
      <b/>
      <vertAlign val="subscript"/>
      <sz val="10"/>
      <color rgb="FFFF0000"/>
      <name val="Calibri"/>
      <family val="2"/>
    </font>
    <font>
      <b/>
      <sz val="10"/>
      <color rgb="FFFF0000"/>
      <name val="Calibri"/>
      <family val="2"/>
    </font>
    <font>
      <sz val="10"/>
      <name val="Calibri"/>
      <family val="2"/>
    </font>
    <font>
      <vertAlign val="subscript"/>
      <sz val="11"/>
      <color theme="1"/>
      <name val="Calibri"/>
      <family val="2"/>
      <scheme val="minor"/>
    </font>
    <font>
      <b/>
      <vertAlign val="subscript"/>
      <sz val="11"/>
      <color rgb="FFFF0000"/>
      <name val="Calibri"/>
      <family val="2"/>
      <scheme val="minor"/>
    </font>
    <font>
      <b/>
      <sz val="11"/>
      <color rgb="FF00B050"/>
      <name val="Calibri"/>
      <family val="2"/>
      <scheme val="minor"/>
    </font>
    <font>
      <sz val="11"/>
      <name val="Calibri"/>
      <family val="2"/>
      <scheme val="minor"/>
    </font>
    <font>
      <sz val="10"/>
      <color theme="1"/>
      <name val="Calibri"/>
      <family val="2"/>
      <scheme val="minor"/>
    </font>
    <font>
      <b/>
      <sz val="11"/>
      <color rgb="FFFF0000"/>
      <name val="Symbol"/>
      <family val="1"/>
      <charset val="2"/>
    </font>
    <font>
      <i/>
      <sz val="18"/>
      <color rgb="FF000000"/>
      <name val="Symbol"/>
      <family val="1"/>
      <charset val="2"/>
    </font>
    <font>
      <sz val="18"/>
      <color rgb="FF000000"/>
      <name val="Times New Roman"/>
      <family val="1"/>
    </font>
  </fonts>
  <fills count="4">
    <fill>
      <patternFill patternType="none"/>
    </fill>
    <fill>
      <patternFill patternType="gray125"/>
    </fill>
    <fill>
      <patternFill patternType="solid">
        <fgColor rgb="FFFFFF00"/>
        <bgColor indexed="64"/>
      </patternFill>
    </fill>
    <fill>
      <patternFill patternType="solid">
        <fgColor rgb="FFFFC000"/>
        <bgColor indexed="64"/>
      </patternFill>
    </fill>
  </fills>
  <borders count="13">
    <border>
      <left/>
      <right/>
      <top/>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bottom style="thin">
        <color indexed="64"/>
      </bottom>
      <diagonal/>
    </border>
    <border>
      <left/>
      <right style="medium">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s>
  <cellStyleXfs count="2">
    <xf numFmtId="0" fontId="0" fillId="0" borderId="0"/>
    <xf numFmtId="9" fontId="1" fillId="0" borderId="0" applyFont="0" applyFill="0" applyBorder="0" applyAlignment="0" applyProtection="0"/>
  </cellStyleXfs>
  <cellXfs count="108">
    <xf numFmtId="0" fontId="0" fillId="0" borderId="0" xfId="0"/>
    <xf numFmtId="0" fontId="3" fillId="0" borderId="1" xfId="0" applyFont="1" applyBorder="1" applyAlignment="1">
      <alignment vertical="center" wrapText="1"/>
    </xf>
    <xf numFmtId="0" fontId="3" fillId="0" borderId="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0" fontId="3" fillId="0" borderId="5" xfId="0" applyFont="1" applyBorder="1" applyAlignment="1">
      <alignment horizontal="center" vertical="center" wrapText="1"/>
    </xf>
    <xf numFmtId="0" fontId="3" fillId="0" borderId="0" xfId="0" applyFont="1" applyAlignment="1">
      <alignment vertical="center" wrapText="1"/>
    </xf>
    <xf numFmtId="0" fontId="3" fillId="0" borderId="6" xfId="0" applyFont="1" applyBorder="1" applyAlignment="1">
      <alignment vertical="center" wrapText="1"/>
    </xf>
    <xf numFmtId="0" fontId="0" fillId="0" borderId="0" xfId="0" quotePrefix="1" applyAlignment="1">
      <alignment horizontal="left"/>
    </xf>
    <xf numFmtId="2" fontId="0" fillId="0" borderId="0" xfId="0" applyNumberFormat="1"/>
    <xf numFmtId="166" fontId="0" fillId="0" borderId="0" xfId="0" applyNumberFormat="1"/>
    <xf numFmtId="0" fontId="6" fillId="0" borderId="0" xfId="0" quotePrefix="1" applyFont="1" applyAlignment="1">
      <alignment horizontal="left" vertical="center" wrapText="1"/>
    </xf>
    <xf numFmtId="0" fontId="2" fillId="0" borderId="0" xfId="0" applyFont="1"/>
    <xf numFmtId="2" fontId="3" fillId="0" borderId="0" xfId="0" applyNumberFormat="1" applyFont="1" applyAlignment="1">
      <alignment vertical="center" wrapText="1"/>
    </xf>
    <xf numFmtId="0" fontId="2" fillId="0" borderId="0" xfId="0" quotePrefix="1" applyFont="1" applyAlignment="1">
      <alignment horizontal="left"/>
    </xf>
    <xf numFmtId="0" fontId="9" fillId="0" borderId="0" xfId="0" quotePrefix="1" applyFont="1" applyAlignment="1">
      <alignment horizontal="left"/>
    </xf>
    <xf numFmtId="2" fontId="3" fillId="0" borderId="6" xfId="0" applyNumberFormat="1" applyFont="1" applyBorder="1" applyAlignment="1">
      <alignment vertical="center" wrapText="1"/>
    </xf>
    <xf numFmtId="166" fontId="3" fillId="0" borderId="0" xfId="0" applyNumberFormat="1" applyFont="1" applyAlignment="1">
      <alignment vertical="center" wrapText="1"/>
    </xf>
    <xf numFmtId="0" fontId="2" fillId="0" borderId="0" xfId="0" quotePrefix="1" applyFont="1" applyAlignment="1">
      <alignment horizontal="center"/>
    </xf>
    <xf numFmtId="0" fontId="0" fillId="2" borderId="0" xfId="0" applyFill="1"/>
    <xf numFmtId="0" fontId="2" fillId="3" borderId="0" xfId="0" applyFont="1" applyFill="1" applyAlignment="1">
      <alignment horizontal="center"/>
    </xf>
    <xf numFmtId="0" fontId="0" fillId="3" borderId="0" xfId="0" applyFill="1"/>
    <xf numFmtId="0" fontId="6" fillId="0" borderId="1" xfId="0" applyFont="1" applyBorder="1" applyAlignment="1">
      <alignment horizontal="center" vertical="center" wrapText="1"/>
    </xf>
    <xf numFmtId="10" fontId="3" fillId="0" borderId="0" xfId="0" applyNumberFormat="1" applyFont="1" applyAlignment="1">
      <alignment vertical="center" wrapText="1"/>
    </xf>
    <xf numFmtId="168" fontId="3" fillId="0" borderId="0" xfId="0" applyNumberFormat="1" applyFont="1" applyAlignment="1">
      <alignment vertical="center" wrapText="1"/>
    </xf>
    <xf numFmtId="0" fontId="3" fillId="0" borderId="0" xfId="0" quotePrefix="1" applyFont="1" applyAlignment="1">
      <alignment horizontal="left" vertical="center" wrapText="1"/>
    </xf>
    <xf numFmtId="0" fontId="15" fillId="0" borderId="0" xfId="0" quotePrefix="1" applyFont="1" applyAlignment="1">
      <alignment horizontal="left" vertical="center" wrapText="1"/>
    </xf>
    <xf numFmtId="165" fontId="17" fillId="0" borderId="0" xfId="1" applyNumberFormat="1" applyFont="1" applyBorder="1" applyAlignment="1">
      <alignment vertical="center" wrapText="1"/>
    </xf>
    <xf numFmtId="167" fontId="17" fillId="0" borderId="0" xfId="0" applyNumberFormat="1" applyFont="1" applyAlignment="1">
      <alignment vertical="center"/>
    </xf>
    <xf numFmtId="0" fontId="15" fillId="2" borderId="0" xfId="0" quotePrefix="1" applyFont="1" applyFill="1" applyAlignment="1">
      <alignment horizontal="left" vertical="center" wrapText="1"/>
    </xf>
    <xf numFmtId="165" fontId="17" fillId="2" borderId="0" xfId="1" applyNumberFormat="1" applyFont="1" applyFill="1" applyBorder="1" applyAlignment="1">
      <alignment vertical="center" wrapText="1"/>
    </xf>
    <xf numFmtId="0" fontId="3" fillId="2" borderId="0" xfId="0" applyFont="1" applyFill="1" applyAlignment="1">
      <alignment vertical="center" wrapText="1"/>
    </xf>
    <xf numFmtId="165" fontId="18" fillId="0" borderId="0" xfId="1" applyNumberFormat="1" applyFont="1" applyBorder="1" applyAlignment="1">
      <alignment vertical="center" wrapText="1"/>
    </xf>
    <xf numFmtId="167" fontId="17" fillId="2" borderId="0" xfId="0" quotePrefix="1" applyNumberFormat="1" applyFont="1" applyFill="1" applyAlignment="1">
      <alignment horizontal="left" vertical="center"/>
    </xf>
    <xf numFmtId="165" fontId="18" fillId="0" borderId="0" xfId="1" quotePrefix="1" applyNumberFormat="1" applyFont="1" applyBorder="1" applyAlignment="1">
      <alignment horizontal="left" vertical="center" wrapText="1"/>
    </xf>
    <xf numFmtId="165" fontId="17" fillId="2" borderId="0" xfId="1" quotePrefix="1" applyNumberFormat="1" applyFont="1" applyFill="1" applyBorder="1" applyAlignment="1">
      <alignment horizontal="left" vertical="center" wrapText="1"/>
    </xf>
    <xf numFmtId="2" fontId="0" fillId="0" borderId="7" xfId="0" applyNumberFormat="1" applyBorder="1"/>
    <xf numFmtId="165" fontId="3" fillId="0" borderId="0" xfId="0" applyNumberFormat="1" applyFont="1" applyAlignment="1">
      <alignment vertical="center" wrapText="1"/>
    </xf>
    <xf numFmtId="0" fontId="8" fillId="0" borderId="0" xfId="0" quotePrefix="1" applyFont="1" applyAlignment="1">
      <alignment horizontal="left"/>
    </xf>
    <xf numFmtId="0" fontId="4" fillId="2" borderId="0" xfId="0" quotePrefix="1" applyFont="1" applyFill="1" applyAlignment="1">
      <alignment horizontal="left"/>
    </xf>
    <xf numFmtId="0" fontId="17" fillId="2" borderId="0" xfId="0" applyFont="1" applyFill="1" applyAlignment="1">
      <alignment vertical="center" wrapText="1"/>
    </xf>
    <xf numFmtId="164" fontId="17" fillId="2" borderId="0" xfId="0" applyNumberFormat="1" applyFont="1" applyFill="1" applyAlignment="1">
      <alignment vertical="center" wrapText="1"/>
    </xf>
    <xf numFmtId="0" fontId="17" fillId="2" borderId="0" xfId="0" quotePrefix="1" applyFont="1" applyFill="1" applyAlignment="1">
      <alignment horizontal="left" vertical="center"/>
    </xf>
    <xf numFmtId="165" fontId="17" fillId="2" borderId="7" xfId="1" applyNumberFormat="1" applyFont="1" applyFill="1" applyBorder="1" applyAlignment="1">
      <alignment vertical="center" wrapText="1"/>
    </xf>
    <xf numFmtId="164" fontId="17" fillId="2" borderId="7" xfId="0" applyNumberFormat="1" applyFont="1" applyFill="1" applyBorder="1" applyAlignment="1">
      <alignment vertical="center" wrapText="1"/>
    </xf>
    <xf numFmtId="165" fontId="17" fillId="2" borderId="0" xfId="0" applyNumberFormat="1" applyFont="1" applyFill="1" applyAlignment="1">
      <alignment vertical="center" wrapText="1"/>
    </xf>
    <xf numFmtId="0" fontId="7" fillId="0" borderId="0" xfId="0" applyFont="1" applyAlignment="1">
      <alignment horizontal="center" vertical="center" wrapText="1"/>
    </xf>
    <xf numFmtId="169" fontId="3" fillId="0" borderId="0" xfId="0" applyNumberFormat="1" applyFont="1" applyAlignment="1">
      <alignment vertical="center" wrapText="1"/>
    </xf>
    <xf numFmtId="0" fontId="3" fillId="0" borderId="7" xfId="0" quotePrefix="1" applyFont="1" applyBorder="1" applyAlignment="1">
      <alignment horizontal="left" vertical="center" wrapText="1"/>
    </xf>
    <xf numFmtId="2" fontId="3" fillId="0" borderId="7" xfId="0" applyNumberFormat="1" applyFont="1" applyBorder="1" applyAlignment="1">
      <alignment vertical="center" wrapText="1"/>
    </xf>
    <xf numFmtId="2" fontId="3" fillId="0" borderId="8" xfId="0" applyNumberFormat="1" applyFont="1" applyBorder="1" applyAlignment="1">
      <alignment vertical="center" wrapText="1"/>
    </xf>
    <xf numFmtId="0" fontId="3" fillId="0" borderId="7" xfId="0" applyFont="1" applyBorder="1" applyAlignment="1">
      <alignment vertical="center" wrapText="1"/>
    </xf>
    <xf numFmtId="165" fontId="3" fillId="0" borderId="0" xfId="1" applyNumberFormat="1" applyFont="1" applyFill="1" applyBorder="1" applyAlignment="1">
      <alignment vertical="center" wrapText="1"/>
    </xf>
    <xf numFmtId="0" fontId="0" fillId="0" borderId="5" xfId="0" applyBorder="1"/>
    <xf numFmtId="0" fontId="0" fillId="0" borderId="4" xfId="0" applyBorder="1" applyAlignment="1">
      <alignment horizontal="center"/>
    </xf>
    <xf numFmtId="0" fontId="0" fillId="0" borderId="4" xfId="0" quotePrefix="1" applyBorder="1" applyAlignment="1">
      <alignment horizontal="center"/>
    </xf>
    <xf numFmtId="0" fontId="3" fillId="0" borderId="5" xfId="0" quotePrefix="1" applyFont="1" applyBorder="1" applyAlignment="1">
      <alignment horizontal="center" vertical="center" wrapText="1"/>
    </xf>
    <xf numFmtId="0" fontId="21" fillId="0" borderId="0" xfId="0" applyFont="1"/>
    <xf numFmtId="0" fontId="21" fillId="3" borderId="0" xfId="0" applyFont="1" applyFill="1"/>
    <xf numFmtId="0" fontId="17" fillId="2" borderId="0" xfId="0" quotePrefix="1" applyFont="1" applyFill="1" applyAlignment="1">
      <alignment horizontal="left" vertical="center" wrapText="1"/>
    </xf>
    <xf numFmtId="165" fontId="4" fillId="2" borderId="0" xfId="1" quotePrefix="1" applyNumberFormat="1" applyFont="1" applyFill="1" applyAlignment="1"/>
    <xf numFmtId="0" fontId="17" fillId="2" borderId="7" xfId="0" quotePrefix="1" applyFont="1" applyFill="1" applyBorder="1" applyAlignment="1">
      <alignment horizontal="left" vertical="center" wrapText="1"/>
    </xf>
    <xf numFmtId="165" fontId="4" fillId="2" borderId="7" xfId="1" quotePrefix="1" applyNumberFormat="1" applyFont="1" applyFill="1" applyBorder="1" applyAlignment="1"/>
    <xf numFmtId="0" fontId="18" fillId="0" borderId="0" xfId="0" applyFont="1" applyAlignment="1">
      <alignment vertical="center" wrapText="1"/>
    </xf>
    <xf numFmtId="165" fontId="18" fillId="0" borderId="0" xfId="1" applyNumberFormat="1" applyFont="1" applyFill="1" applyBorder="1" applyAlignment="1">
      <alignment vertical="center" wrapText="1"/>
    </xf>
    <xf numFmtId="0" fontId="2" fillId="0" borderId="0" xfId="0" applyFont="1" applyAlignment="1">
      <alignment horizontal="center"/>
    </xf>
    <xf numFmtId="164" fontId="3" fillId="0" borderId="0" xfId="0" applyNumberFormat="1" applyFont="1" applyAlignment="1">
      <alignment vertical="center" wrapText="1"/>
    </xf>
    <xf numFmtId="165" fontId="23" fillId="0" borderId="0" xfId="1" applyNumberFormat="1" applyFont="1"/>
    <xf numFmtId="168" fontId="23" fillId="0" borderId="0" xfId="1" applyNumberFormat="1" applyFont="1"/>
    <xf numFmtId="0" fontId="8" fillId="0" borderId="0" xfId="0" applyFont="1" applyAlignment="1">
      <alignment horizontal="center"/>
    </xf>
    <xf numFmtId="2" fontId="4" fillId="0" borderId="0" xfId="0" applyNumberFormat="1" applyFont="1"/>
    <xf numFmtId="0" fontId="4" fillId="0" borderId="0" xfId="0" quotePrefix="1" applyFont="1" applyAlignment="1">
      <alignment horizontal="center"/>
    </xf>
    <xf numFmtId="2" fontId="4" fillId="2" borderId="0" xfId="0" applyNumberFormat="1" applyFont="1" applyFill="1"/>
    <xf numFmtId="0" fontId="24" fillId="2" borderId="0" xfId="0" quotePrefix="1" applyFont="1" applyFill="1" applyAlignment="1">
      <alignment horizontal="center"/>
    </xf>
    <xf numFmtId="165" fontId="4" fillId="2" borderId="0" xfId="1" applyNumberFormat="1" applyFont="1" applyFill="1"/>
    <xf numFmtId="0" fontId="0" fillId="0" borderId="0" xfId="0" quotePrefix="1"/>
    <xf numFmtId="9" fontId="22" fillId="0" borderId="0" xfId="1" applyFont="1"/>
    <xf numFmtId="0" fontId="3" fillId="0" borderId="9" xfId="0" applyFont="1" applyBorder="1" applyAlignment="1">
      <alignment vertical="center" wrapText="1"/>
    </xf>
    <xf numFmtId="0" fontId="3" fillId="0" borderId="10" xfId="0" applyFont="1" applyBorder="1" applyAlignment="1">
      <alignment horizontal="center" vertical="center" wrapText="1"/>
    </xf>
    <xf numFmtId="0" fontId="3" fillId="0" borderId="11" xfId="0" applyFont="1" applyBorder="1" applyAlignment="1">
      <alignment vertical="center" wrapText="1"/>
    </xf>
    <xf numFmtId="170" fontId="3" fillId="0" borderId="12" xfId="0" applyNumberFormat="1" applyFont="1" applyBorder="1" applyAlignment="1">
      <alignment horizontal="center" vertical="center" wrapText="1"/>
    </xf>
    <xf numFmtId="10" fontId="3" fillId="0" borderId="12" xfId="0" applyNumberFormat="1" applyFont="1" applyBorder="1" applyAlignment="1">
      <alignment horizontal="center" vertical="center" wrapText="1"/>
    </xf>
    <xf numFmtId="9" fontId="0" fillId="0" borderId="0" xfId="0" applyNumberFormat="1"/>
    <xf numFmtId="0" fontId="3" fillId="0" borderId="11" xfId="0" quotePrefix="1" applyFont="1" applyBorder="1" applyAlignment="1">
      <alignment horizontal="left" vertical="center" wrapText="1"/>
    </xf>
    <xf numFmtId="164" fontId="0" fillId="2" borderId="0" xfId="0" applyNumberFormat="1" applyFill="1"/>
    <xf numFmtId="171" fontId="0" fillId="0" borderId="0" xfId="0" applyNumberFormat="1"/>
    <xf numFmtId="164" fontId="4" fillId="2" borderId="0" xfId="0" applyNumberFormat="1" applyFont="1" applyFill="1"/>
    <xf numFmtId="164" fontId="17" fillId="2" borderId="0" xfId="0" applyNumberFormat="1" applyFont="1" applyFill="1" applyAlignment="1">
      <alignment vertical="center"/>
    </xf>
    <xf numFmtId="0" fontId="4" fillId="0" borderId="0" xfId="0" applyFont="1"/>
    <xf numFmtId="0" fontId="4" fillId="0" borderId="0" xfId="0" quotePrefix="1" applyFont="1" applyAlignment="1">
      <alignment horizontal="left"/>
    </xf>
    <xf numFmtId="0" fontId="4" fillId="0" borderId="0" xfId="0" applyFont="1" applyAlignment="1">
      <alignment horizontal="left"/>
    </xf>
    <xf numFmtId="0" fontId="2" fillId="3" borderId="0" xfId="0" quotePrefix="1" applyFont="1" applyFill="1" applyAlignment="1">
      <alignment horizontal="center"/>
    </xf>
    <xf numFmtId="9" fontId="21" fillId="0" borderId="0" xfId="1" quotePrefix="1" applyFont="1" applyAlignment="1"/>
    <xf numFmtId="0" fontId="0" fillId="0" borderId="7" xfId="0" applyBorder="1"/>
    <xf numFmtId="165" fontId="3" fillId="0" borderId="7" xfId="1" applyNumberFormat="1" applyFont="1" applyFill="1" applyBorder="1" applyAlignment="1">
      <alignment vertical="center" wrapText="1"/>
    </xf>
    <xf numFmtId="0" fontId="2" fillId="0" borderId="7" xfId="0" quotePrefix="1" applyFont="1" applyBorder="1" applyAlignment="1">
      <alignment horizontal="center"/>
    </xf>
    <xf numFmtId="0" fontId="2" fillId="0" borderId="7" xfId="0" applyFont="1" applyBorder="1" applyAlignment="1">
      <alignment horizontal="center"/>
    </xf>
    <xf numFmtId="0" fontId="7" fillId="0" borderId="7" xfId="0" applyFont="1" applyBorder="1" applyAlignment="1">
      <alignment horizontal="center" vertical="center" wrapText="1"/>
    </xf>
    <xf numFmtId="0" fontId="2" fillId="0" borderId="7" xfId="0" quotePrefix="1" applyFont="1" applyBorder="1" applyAlignment="1">
      <alignment horizontal="left"/>
    </xf>
    <xf numFmtId="166" fontId="4" fillId="0" borderId="0" xfId="0" applyNumberFormat="1" applyFont="1"/>
    <xf numFmtId="165" fontId="22" fillId="0" borderId="0" xfId="1" applyNumberFormat="1" applyFont="1"/>
    <xf numFmtId="10" fontId="3" fillId="0" borderId="0" xfId="0" applyNumberFormat="1" applyFont="1" applyAlignment="1">
      <alignment horizontal="center" vertical="center" wrapText="1"/>
    </xf>
    <xf numFmtId="165" fontId="17" fillId="0" borderId="0" xfId="1" applyNumberFormat="1" applyFont="1" applyAlignment="1">
      <alignment vertical="center" wrapText="1"/>
    </xf>
    <xf numFmtId="0" fontId="25" fillId="0" borderId="0" xfId="0" applyFont="1"/>
    <xf numFmtId="0" fontId="7" fillId="0" borderId="7" xfId="0" applyFont="1" applyBorder="1" applyAlignment="1">
      <alignment horizontal="center" vertical="center" wrapText="1"/>
    </xf>
    <xf numFmtId="0" fontId="2" fillId="0" borderId="7" xfId="0" quotePrefix="1" applyFont="1" applyBorder="1" applyAlignment="1">
      <alignment horizontal="center"/>
    </xf>
    <xf numFmtId="0" fontId="7" fillId="0" borderId="7" xfId="0" quotePrefix="1" applyFont="1" applyBorder="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xdr:col>
      <xdr:colOff>360383</xdr:colOff>
      <xdr:row>73</xdr:row>
      <xdr:rowOff>94013</xdr:rowOff>
    </xdr:from>
    <xdr:to>
      <xdr:col>11</xdr:col>
      <xdr:colOff>111330</xdr:colOff>
      <xdr:row>74</xdr:row>
      <xdr:rowOff>157514</xdr:rowOff>
    </xdr:to>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4054928" y="13804240"/>
              <a:ext cx="5442857" cy="27131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SML (CAPM) equation is: 	</a:t>
              </a:r>
              <a14:m>
                <m:oMath xmlns:m="http://schemas.openxmlformats.org/officeDocument/2006/math">
                  <m:sSub>
                    <m:sSubPr>
                      <m:ctrlPr>
                        <a:rPr lang="en-US" sz="1100" b="1" i="1">
                          <a:solidFill>
                            <a:schemeClr val="dk1"/>
                          </a:solidFill>
                          <a:effectLst/>
                          <a:latin typeface="Cambria Math" panose="02040503050406030204" pitchFamily="18" charset="0"/>
                          <a:ea typeface="+mn-ea"/>
                          <a:cs typeface="+mn-cs"/>
                        </a:rPr>
                      </m:ctrlPr>
                    </m:sSubPr>
                    <m:e>
                      <m:acc>
                        <m:accPr>
                          <m:chr m:val="̅"/>
                          <m:ctrlPr>
                            <a:rPr lang="en-US" sz="1100" b="1" i="1">
                              <a:solidFill>
                                <a:schemeClr val="dk1"/>
                              </a:solidFill>
                              <a:effectLst/>
                              <a:latin typeface="Cambria Math" panose="02040503050406030204" pitchFamily="18" charset="0"/>
                              <a:ea typeface="+mn-ea"/>
                              <a:cs typeface="+mn-cs"/>
                            </a:rPr>
                          </m:ctrlPr>
                        </m:accPr>
                        <m:e>
                          <m:r>
                            <a:rPr lang="en-US" sz="1100" b="1" i="1">
                              <a:solidFill>
                                <a:schemeClr val="dk1"/>
                              </a:solidFill>
                              <a:effectLst/>
                              <a:latin typeface="Cambria Math" panose="02040503050406030204" pitchFamily="18" charset="0"/>
                              <a:ea typeface="+mn-ea"/>
                              <a:cs typeface="+mn-cs"/>
                            </a:rPr>
                            <m:t>𝑹</m:t>
                          </m:r>
                        </m:e>
                      </m:acc>
                    </m:e>
                    <m:sub>
                      <m:r>
                        <a:rPr lang="en-US" sz="1100" b="1" i="1">
                          <a:solidFill>
                            <a:schemeClr val="dk1"/>
                          </a:solidFill>
                          <a:effectLst/>
                          <a:latin typeface="Cambria Math" panose="02040503050406030204" pitchFamily="18" charset="0"/>
                          <a:ea typeface="+mn-ea"/>
                          <a:cs typeface="+mn-cs"/>
                        </a:rPr>
                        <m:t>𝒊</m:t>
                      </m:r>
                    </m:sub>
                  </m:sSub>
                  <m:r>
                    <a:rPr lang="en-US" sz="1100" b="1" i="1">
                      <a:solidFill>
                        <a:schemeClr val="dk1"/>
                      </a:solidFill>
                      <a:effectLst/>
                      <a:latin typeface="Cambria Math" panose="02040503050406030204" pitchFamily="18" charset="0"/>
                      <a:ea typeface="+mn-ea"/>
                      <a:cs typeface="+mn-cs"/>
                    </a:rPr>
                    <m:t>=</m:t>
                  </m:r>
                  <m:r>
                    <a:rPr lang="en-US" sz="1100" b="1" i="1">
                      <a:solidFill>
                        <a:schemeClr val="dk1"/>
                      </a:solidFill>
                      <a:effectLst/>
                      <a:latin typeface="Cambria Math" panose="02040503050406030204" pitchFamily="18" charset="0"/>
                      <a:ea typeface="+mn-ea"/>
                      <a:cs typeface="+mn-cs"/>
                    </a:rPr>
                    <m:t>𝟎</m:t>
                  </m:r>
                  <m:r>
                    <a:rPr lang="en-US" sz="1100" b="1" i="1">
                      <a:solidFill>
                        <a:schemeClr val="dk1"/>
                      </a:solidFill>
                      <a:effectLst/>
                      <a:latin typeface="Cambria Math" panose="02040503050406030204" pitchFamily="18" charset="0"/>
                      <a:ea typeface="+mn-ea"/>
                      <a:cs typeface="+mn-cs"/>
                    </a:rPr>
                    <m:t>.</m:t>
                  </m:r>
                  <m:r>
                    <a:rPr lang="en-US" sz="1100" b="1" i="1">
                      <a:solidFill>
                        <a:schemeClr val="dk1"/>
                      </a:solidFill>
                      <a:effectLst/>
                      <a:latin typeface="Cambria Math" panose="02040503050406030204" pitchFamily="18" charset="0"/>
                      <a:ea typeface="+mn-ea"/>
                      <a:cs typeface="+mn-cs"/>
                    </a:rPr>
                    <m:t>𝟎𝟔</m:t>
                  </m:r>
                  <m:r>
                    <a:rPr lang="en-US" sz="1100" b="1" i="1">
                      <a:solidFill>
                        <a:schemeClr val="dk1"/>
                      </a:solidFill>
                      <a:effectLst/>
                      <a:latin typeface="Cambria Math" panose="02040503050406030204" pitchFamily="18" charset="0"/>
                      <a:ea typeface="+mn-ea"/>
                      <a:cs typeface="+mn-cs"/>
                    </a:rPr>
                    <m:t>+</m:t>
                  </m:r>
                  <m:sSub>
                    <m:sSubPr>
                      <m:ctrlPr>
                        <a:rPr lang="en-US" sz="1100" b="1" i="1">
                          <a:solidFill>
                            <a:schemeClr val="dk1"/>
                          </a:solidFill>
                          <a:effectLst/>
                          <a:latin typeface="Cambria Math" panose="02040503050406030204" pitchFamily="18" charset="0"/>
                          <a:ea typeface="+mn-ea"/>
                          <a:cs typeface="+mn-cs"/>
                        </a:rPr>
                      </m:ctrlPr>
                    </m:sSubPr>
                    <m:e>
                      <m:r>
                        <a:rPr lang="en-US" sz="1100" b="1" i="1">
                          <a:solidFill>
                            <a:schemeClr val="dk1"/>
                          </a:solidFill>
                          <a:effectLst/>
                          <a:latin typeface="Cambria Math" panose="02040503050406030204" pitchFamily="18" charset="0"/>
                          <a:ea typeface="+mn-ea"/>
                          <a:cs typeface="+mn-cs"/>
                        </a:rPr>
                        <m:t>𝜷</m:t>
                      </m:r>
                    </m:e>
                    <m:sub>
                      <m:r>
                        <a:rPr lang="en-US" sz="1100" b="1" i="1">
                          <a:solidFill>
                            <a:schemeClr val="dk1"/>
                          </a:solidFill>
                          <a:effectLst/>
                          <a:latin typeface="Cambria Math" panose="02040503050406030204" pitchFamily="18" charset="0"/>
                          <a:ea typeface="+mn-ea"/>
                          <a:cs typeface="+mn-cs"/>
                        </a:rPr>
                        <m:t>𝒊</m:t>
                      </m:r>
                    </m:sub>
                  </m:sSub>
                  <m:r>
                    <a:rPr lang="en-US" sz="1100" b="1" i="1">
                      <a:solidFill>
                        <a:schemeClr val="dk1"/>
                      </a:solidFill>
                      <a:effectLst/>
                      <a:latin typeface="Cambria Math" panose="02040503050406030204" pitchFamily="18" charset="0"/>
                      <a:ea typeface="+mn-ea"/>
                      <a:cs typeface="+mn-cs"/>
                    </a:rPr>
                    <m:t> </m:t>
                  </m:r>
                  <m:r>
                    <m:rPr>
                      <m:nor/>
                    </m:rPr>
                    <a:rPr lang="en-US" sz="1100" b="1">
                      <a:solidFill>
                        <a:schemeClr val="dk1"/>
                      </a:solidFill>
                      <a:effectLst/>
                      <a:latin typeface="+mn-lt"/>
                      <a:ea typeface="+mn-ea"/>
                      <a:cs typeface="+mn-cs"/>
                    </a:rPr>
                    <m:t>x</m:t>
                  </m:r>
                  <m:r>
                    <a:rPr lang="en-US" sz="1100" b="1" i="1">
                      <a:solidFill>
                        <a:schemeClr val="dk1"/>
                      </a:solidFill>
                      <a:effectLst/>
                      <a:latin typeface="Cambria Math" panose="02040503050406030204" pitchFamily="18" charset="0"/>
                      <a:ea typeface="+mn-ea"/>
                      <a:cs typeface="+mn-cs"/>
                    </a:rPr>
                    <m:t> </m:t>
                  </m:r>
                  <m:r>
                    <a:rPr lang="en-US" sz="1100" b="1" i="1">
                      <a:solidFill>
                        <a:schemeClr val="dk1"/>
                      </a:solidFill>
                      <a:effectLst/>
                      <a:latin typeface="Cambria Math" panose="02040503050406030204" pitchFamily="18" charset="0"/>
                      <a:ea typeface="+mn-ea"/>
                      <a:cs typeface="+mn-cs"/>
                    </a:rPr>
                    <m:t>𝟎</m:t>
                  </m:r>
                  <m:r>
                    <a:rPr lang="en-US" sz="1100" b="1" i="1">
                      <a:solidFill>
                        <a:schemeClr val="dk1"/>
                      </a:solidFill>
                      <a:effectLst/>
                      <a:latin typeface="Cambria Math" panose="02040503050406030204" pitchFamily="18" charset="0"/>
                      <a:ea typeface="+mn-ea"/>
                      <a:cs typeface="+mn-cs"/>
                    </a:rPr>
                    <m:t>.</m:t>
                  </m:r>
                  <m:r>
                    <a:rPr lang="en-US" sz="1100" b="1" i="1">
                      <a:solidFill>
                        <a:schemeClr val="dk1"/>
                      </a:solidFill>
                      <a:effectLst/>
                      <a:latin typeface="Cambria Math" panose="02040503050406030204" pitchFamily="18" charset="0"/>
                      <a:ea typeface="+mn-ea"/>
                      <a:cs typeface="+mn-cs"/>
                    </a:rPr>
                    <m:t>𝟎𝟖</m:t>
                  </m:r>
                </m:oMath>
              </a14:m>
              <a:endParaRPr lang="en-US" sz="1100" b="1">
                <a:solidFill>
                  <a:schemeClr val="dk1"/>
                </a:solidFill>
                <a:effectLst/>
                <a:latin typeface="+mn-lt"/>
                <a:ea typeface="+mn-ea"/>
                <a:cs typeface="+mn-cs"/>
              </a:endParaRPr>
            </a:p>
            <a:p>
              <a:endParaRPr lang="en-US" sz="1100"/>
            </a:p>
          </xdr:txBody>
        </xdr:sp>
      </mc:Choice>
      <mc:Fallback xmlns="">
        <xdr:sp macro="" textlink="">
          <xdr:nvSpPr>
            <xdr:cNvPr id="8" name="TextBox 7"/>
            <xdr:cNvSpPr txBox="1"/>
          </xdr:nvSpPr>
          <xdr:spPr>
            <a:xfrm>
              <a:off x="4054928" y="13804240"/>
              <a:ext cx="5442857" cy="27131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The SML (CAPM) equation is: 	</a:t>
              </a:r>
              <a:r>
                <a:rPr lang="en-US" sz="1100" b="1" i="0">
                  <a:solidFill>
                    <a:schemeClr val="dk1"/>
                  </a:solidFill>
                  <a:effectLst/>
                  <a:latin typeface="Cambria Math" panose="02040503050406030204" pitchFamily="18" charset="0"/>
                  <a:ea typeface="+mn-ea"/>
                  <a:cs typeface="+mn-cs"/>
                </a:rPr>
                <a:t>𝑹 ̅_𝒊=𝟎.𝟎𝟔+𝜷_𝒊  "x" 𝟎.𝟎</a:t>
              </a:r>
              <a:r>
                <a:rPr lang="pt-PT" sz="1100" b="1" i="0">
                  <a:solidFill>
                    <a:schemeClr val="dk1"/>
                  </a:solidFill>
                  <a:effectLst/>
                  <a:latin typeface="Cambria Math" panose="02040503050406030204" pitchFamily="18" charset="0"/>
                  <a:ea typeface="+mn-ea"/>
                  <a:cs typeface="+mn-cs"/>
                </a:rPr>
                <a:t>𝟖</a:t>
              </a:r>
              <a:endParaRPr lang="en-US" sz="1100" b="1">
                <a:solidFill>
                  <a:schemeClr val="dk1"/>
                </a:solidFill>
                <a:effectLst/>
                <a:latin typeface="+mn-lt"/>
                <a:ea typeface="+mn-ea"/>
                <a:cs typeface="+mn-cs"/>
              </a:endParaRPr>
            </a:p>
            <a:p>
              <a:endParaRPr lang="en-US" sz="1100"/>
            </a:p>
          </xdr:txBody>
        </xdr:sp>
      </mc:Fallback>
    </mc:AlternateContent>
    <xdr:clientData/>
  </xdr:twoCellAnchor>
  <xdr:oneCellAnchor>
    <xdr:from>
      <xdr:col>1</xdr:col>
      <xdr:colOff>603249</xdr:colOff>
      <xdr:row>85</xdr:row>
      <xdr:rowOff>163287</xdr:rowOff>
    </xdr:from>
    <xdr:ext cx="4884964" cy="609013"/>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211035" y="14995073"/>
          <a:ext cx="4884964" cy="609013"/>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Assuming that the analyst´s expectations prevail and the market follows the CAPM, then the expected returns are lower than they should. In this case, the portfolio manager should invest in Volkswagen to profit from this unbalance.</a:t>
          </a:r>
        </a:p>
      </xdr:txBody>
    </xdr:sp>
    <xdr:clientData/>
  </xdr:oneCellAnchor>
  <xdr:oneCellAnchor>
    <xdr:from>
      <xdr:col>4</xdr:col>
      <xdr:colOff>163369</xdr:colOff>
      <xdr:row>57</xdr:row>
      <xdr:rowOff>13277</xdr:rowOff>
    </xdr:from>
    <xdr:ext cx="1931939"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57914" y="10721686"/>
              <a:ext cx="193193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pt-PT" sz="1100" b="0" i="1">
                        <a:latin typeface="Cambria Math" panose="02040503050406030204" pitchFamily="18" charset="0"/>
                      </a:rPr>
                      <m:t>0.08=0.06</m:t>
                    </m:r>
                    <m:sSub>
                      <m:sSubPr>
                        <m:ctrlPr>
                          <a:rPr lang="pt-PT" sz="1100" b="0" i="1">
                            <a:latin typeface="Cambria Math" panose="02040503050406030204" pitchFamily="18" charset="0"/>
                          </a:rPr>
                        </m:ctrlPr>
                      </m:sSubPr>
                      <m:e>
                        <m:r>
                          <a:rPr lang="pt-PT" sz="1100" b="0" i="1">
                            <a:latin typeface="Cambria Math" panose="02040503050406030204" pitchFamily="18" charset="0"/>
                          </a:rPr>
                          <m:t>𝑋</m:t>
                        </m:r>
                      </m:e>
                      <m:sub>
                        <m:r>
                          <a:rPr lang="pt-PT" sz="1100" b="0" i="1">
                            <a:latin typeface="Cambria Math" panose="02040503050406030204" pitchFamily="18" charset="0"/>
                          </a:rPr>
                          <m:t>𝐹</m:t>
                        </m:r>
                      </m:sub>
                    </m:sSub>
                    <m:r>
                      <a:rPr lang="pt-PT" sz="1100" b="0" i="1">
                        <a:latin typeface="Cambria Math" panose="02040503050406030204" pitchFamily="18" charset="0"/>
                      </a:rPr>
                      <m:t>+0,125</m:t>
                    </m:r>
                    <m:d>
                      <m:dPr>
                        <m:ctrlPr>
                          <a:rPr lang="pt-PT" sz="1100" b="0" i="1">
                            <a:latin typeface="Cambria Math" panose="02040503050406030204" pitchFamily="18" charset="0"/>
                          </a:rPr>
                        </m:ctrlPr>
                      </m:dPr>
                      <m:e>
                        <m:r>
                          <a:rPr lang="pt-PT" sz="1100" b="0" i="1">
                            <a:latin typeface="Cambria Math" panose="02040503050406030204" pitchFamily="18" charset="0"/>
                          </a:rPr>
                          <m:t>1−</m:t>
                        </m:r>
                        <m:sSub>
                          <m:sSubPr>
                            <m:ctrlPr>
                              <a:rPr lang="pt-PT" sz="1100" b="0" i="1">
                                <a:latin typeface="Cambria Math" panose="02040503050406030204" pitchFamily="18" charset="0"/>
                              </a:rPr>
                            </m:ctrlPr>
                          </m:sSubPr>
                          <m:e>
                            <m:r>
                              <a:rPr lang="pt-PT" sz="1100" b="0" i="1">
                                <a:latin typeface="Cambria Math" panose="02040503050406030204" pitchFamily="18" charset="0"/>
                              </a:rPr>
                              <m:t>𝑋</m:t>
                            </m:r>
                          </m:e>
                          <m:sub>
                            <m:r>
                              <a:rPr lang="pt-PT" sz="1100" b="0" i="1">
                                <a:latin typeface="Cambria Math" panose="02040503050406030204" pitchFamily="18" charset="0"/>
                              </a:rPr>
                              <m:t>𝐹</m:t>
                            </m:r>
                          </m:sub>
                        </m:sSub>
                      </m:e>
                    </m:d>
                  </m:oMath>
                </m:oMathPara>
              </a14:m>
              <a:endParaRPr lang="en-US" sz="1100"/>
            </a:p>
          </xdr:txBody>
        </xdr:sp>
      </mc:Choice>
      <mc:Fallback xmlns="">
        <xdr:sp macro="" textlink="">
          <xdr:nvSpPr>
            <xdr:cNvPr id="3" name="TextBox 2"/>
            <xdr:cNvSpPr txBox="1"/>
          </xdr:nvSpPr>
          <xdr:spPr>
            <a:xfrm>
              <a:off x="3857914" y="10721686"/>
              <a:ext cx="1931939"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pt-PT" sz="1100" b="0" i="0">
                  <a:latin typeface="Cambria Math" panose="02040503050406030204" pitchFamily="18" charset="0"/>
                </a:rPr>
                <a:t>0.08=0.06𝑋_𝐹+0,125(1−𝑋_𝐹 )</a:t>
              </a:r>
              <a:endParaRPr lang="en-US" sz="1100"/>
            </a:p>
          </xdr:txBody>
        </xdr:sp>
      </mc:Fallback>
    </mc:AlternateContent>
    <xdr:clientData/>
  </xdr:oneCellAnchor>
  <xdr:twoCellAnchor editAs="oneCell">
    <xdr:from>
      <xdr:col>9</xdr:col>
      <xdr:colOff>236682</xdr:colOff>
      <xdr:row>25</xdr:row>
      <xdr:rowOff>11546</xdr:rowOff>
    </xdr:from>
    <xdr:to>
      <xdr:col>13</xdr:col>
      <xdr:colOff>141009</xdr:colOff>
      <xdr:row>27</xdr:row>
      <xdr:rowOff>76962</xdr:rowOff>
    </xdr:to>
    <xdr:pic>
      <xdr:nvPicPr>
        <xdr:cNvPr id="4" name="Picture 3">
          <a:extLst>
            <a:ext uri="{FF2B5EF4-FFF2-40B4-BE49-F238E27FC236}">
              <a16:creationId xmlns:a16="http://schemas.microsoft.com/office/drawing/2014/main" id="{96E9631D-4140-3205-5C3B-C8E101796299}"/>
            </a:ext>
          </a:extLst>
        </xdr:cNvPr>
        <xdr:cNvPicPr>
          <a:picLocks noChangeAspect="1"/>
        </xdr:cNvPicPr>
      </xdr:nvPicPr>
      <xdr:blipFill>
        <a:blip xmlns:r="http://schemas.openxmlformats.org/officeDocument/2006/relationships" r:embed="rId1"/>
        <a:stretch>
          <a:fillRect/>
        </a:stretch>
      </xdr:blipFill>
      <xdr:spPr>
        <a:xfrm>
          <a:off x="8231909" y="4745182"/>
          <a:ext cx="2952327" cy="434871"/>
        </a:xfrm>
        <a:prstGeom prst="rect">
          <a:avLst/>
        </a:prstGeom>
      </xdr:spPr>
    </xdr:pic>
    <xdr:clientData/>
  </xdr:twoCellAnchor>
  <xdr:twoCellAnchor editAs="oneCell">
    <xdr:from>
      <xdr:col>0</xdr:col>
      <xdr:colOff>317499</xdr:colOff>
      <xdr:row>37</xdr:row>
      <xdr:rowOff>202045</xdr:rowOff>
    </xdr:from>
    <xdr:to>
      <xdr:col>2</xdr:col>
      <xdr:colOff>1373909</xdr:colOff>
      <xdr:row>42</xdr:row>
      <xdr:rowOff>142218</xdr:rowOff>
    </xdr:to>
    <xdr:pic>
      <xdr:nvPicPr>
        <xdr:cNvPr id="5" name="Picture 4">
          <a:extLst>
            <a:ext uri="{FF2B5EF4-FFF2-40B4-BE49-F238E27FC236}">
              <a16:creationId xmlns:a16="http://schemas.microsoft.com/office/drawing/2014/main" id="{737968A7-08A9-C525-BBDF-C3D2BDEB8519}"/>
            </a:ext>
          </a:extLst>
        </xdr:cNvPr>
        <xdr:cNvPicPr>
          <a:picLocks noChangeAspect="1"/>
        </xdr:cNvPicPr>
      </xdr:nvPicPr>
      <xdr:blipFill>
        <a:blip xmlns:r="http://schemas.openxmlformats.org/officeDocument/2006/relationships" r:embed="rId2"/>
        <a:stretch>
          <a:fillRect/>
        </a:stretch>
      </xdr:blipFill>
      <xdr:spPr>
        <a:xfrm>
          <a:off x="317499" y="7163954"/>
          <a:ext cx="2280228" cy="886900"/>
        </a:xfrm>
        <a:prstGeom prst="rect">
          <a:avLst/>
        </a:prstGeom>
      </xdr:spPr>
    </xdr:pic>
    <xdr:clientData/>
  </xdr:twoCellAnchor>
  <xdr:twoCellAnchor editAs="oneCell">
    <xdr:from>
      <xdr:col>4</xdr:col>
      <xdr:colOff>207817</xdr:colOff>
      <xdr:row>78</xdr:row>
      <xdr:rowOff>92364</xdr:rowOff>
    </xdr:from>
    <xdr:to>
      <xdr:col>6</xdr:col>
      <xdr:colOff>229228</xdr:colOff>
      <xdr:row>80</xdr:row>
      <xdr:rowOff>108222</xdr:rowOff>
    </xdr:to>
    <xdr:pic>
      <xdr:nvPicPr>
        <xdr:cNvPr id="6" name="Picture 5">
          <a:extLst>
            <a:ext uri="{FF2B5EF4-FFF2-40B4-BE49-F238E27FC236}">
              <a16:creationId xmlns:a16="http://schemas.microsoft.com/office/drawing/2014/main" id="{E07E8DAE-603C-B339-3153-44D72C0A4323}"/>
            </a:ext>
          </a:extLst>
        </xdr:cNvPr>
        <xdr:cNvPicPr>
          <a:picLocks noChangeAspect="1"/>
        </xdr:cNvPicPr>
      </xdr:nvPicPr>
      <xdr:blipFill>
        <a:blip xmlns:r="http://schemas.openxmlformats.org/officeDocument/2006/relationships" r:embed="rId3"/>
        <a:stretch>
          <a:fillRect/>
        </a:stretch>
      </xdr:blipFill>
      <xdr:spPr>
        <a:xfrm>
          <a:off x="4046681" y="14905182"/>
          <a:ext cx="1620456" cy="38531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01"/>
  <sheetViews>
    <sheetView tabSelected="1" zoomScale="110" zoomScaleNormal="110" workbookViewId="0">
      <selection activeCell="D9" sqref="D9"/>
    </sheetView>
  </sheetViews>
  <sheetFormatPr defaultRowHeight="14.5" x14ac:dyDescent="0.35"/>
  <cols>
    <col min="3" max="3" width="21.453125" customWidth="1"/>
    <col min="4" max="4" width="15.90625" customWidth="1"/>
    <col min="5" max="5" width="12.81640625" customWidth="1"/>
    <col min="6" max="6" width="10.08984375" customWidth="1"/>
    <col min="7" max="7" width="13.26953125" customWidth="1"/>
    <col min="8" max="8" width="12.81640625" customWidth="1"/>
    <col min="9" max="9" width="10.453125" customWidth="1"/>
    <col min="10" max="10" width="13.1796875" customWidth="1"/>
    <col min="12" max="12" width="12.90625" customWidth="1"/>
  </cols>
  <sheetData>
    <row r="1" spans="1:13" ht="21" x14ac:dyDescent="0.5">
      <c r="A1" s="16" t="s">
        <v>82</v>
      </c>
    </row>
    <row r="2" spans="1:13" ht="14.5" customHeight="1" x14ac:dyDescent="0.5">
      <c r="A2" s="16"/>
    </row>
    <row r="3" spans="1:13" ht="14.5" customHeight="1" x14ac:dyDescent="0.35">
      <c r="A3" s="59"/>
      <c r="B3" s="21" t="s">
        <v>10</v>
      </c>
      <c r="C3" s="22"/>
    </row>
    <row r="4" spans="1:13" ht="14.5" customHeight="1" x14ac:dyDescent="0.35">
      <c r="A4" s="93">
        <f>SUM(A5:A10)/100</f>
        <v>0.3</v>
      </c>
      <c r="B4" t="s">
        <v>87</v>
      </c>
    </row>
    <row r="5" spans="1:13" ht="14.5" customHeight="1" x14ac:dyDescent="0.35">
      <c r="A5" s="58">
        <v>5</v>
      </c>
      <c r="B5" s="89" t="s">
        <v>4</v>
      </c>
      <c r="C5" s="89" t="s">
        <v>83</v>
      </c>
    </row>
    <row r="6" spans="1:13" ht="14.5" customHeight="1" x14ac:dyDescent="0.35">
      <c r="A6" s="58">
        <v>5</v>
      </c>
      <c r="B6" s="90" t="s">
        <v>5</v>
      </c>
      <c r="C6" s="89" t="s">
        <v>84</v>
      </c>
    </row>
    <row r="7" spans="1:13" ht="14.5" customHeight="1" x14ac:dyDescent="0.35">
      <c r="A7" s="58">
        <v>5</v>
      </c>
      <c r="B7" s="90" t="s">
        <v>6</v>
      </c>
      <c r="C7" s="89" t="s">
        <v>85</v>
      </c>
    </row>
    <row r="8" spans="1:13" ht="14.5" customHeight="1" x14ac:dyDescent="0.35">
      <c r="A8" s="58">
        <v>5</v>
      </c>
      <c r="B8" s="90" t="s">
        <v>7</v>
      </c>
      <c r="C8" s="89" t="s">
        <v>83</v>
      </c>
    </row>
    <row r="9" spans="1:13" ht="14.5" customHeight="1" x14ac:dyDescent="0.35">
      <c r="A9" s="58">
        <v>5</v>
      </c>
      <c r="B9" s="91" t="s">
        <v>40</v>
      </c>
      <c r="C9" s="89" t="s">
        <v>86</v>
      </c>
    </row>
    <row r="10" spans="1:13" ht="14.5" customHeight="1" x14ac:dyDescent="0.35">
      <c r="A10" s="58">
        <v>5</v>
      </c>
      <c r="B10" s="91" t="s">
        <v>53</v>
      </c>
      <c r="C10" s="89" t="s">
        <v>83</v>
      </c>
    </row>
    <row r="11" spans="1:13" ht="14.5" customHeight="1" x14ac:dyDescent="0.5">
      <c r="A11" s="16"/>
    </row>
    <row r="12" spans="1:13" ht="14.5" customHeight="1" x14ac:dyDescent="0.5">
      <c r="A12" s="16"/>
    </row>
    <row r="13" spans="1:13" ht="15" customHeight="1" x14ac:dyDescent="0.35">
      <c r="G13" s="7"/>
      <c r="H13" s="7"/>
    </row>
    <row r="14" spans="1:13" x14ac:dyDescent="0.35">
      <c r="A14" s="59"/>
      <c r="B14" s="92" t="s">
        <v>11</v>
      </c>
      <c r="C14" s="22"/>
    </row>
    <row r="15" spans="1:13" ht="15" thickBot="1" x14ac:dyDescent="0.4">
      <c r="A15" s="93">
        <f>SUM(A16:A248)/100</f>
        <v>0.7</v>
      </c>
      <c r="B15" s="9" t="s">
        <v>88</v>
      </c>
      <c r="J15" s="54"/>
      <c r="K15" s="54"/>
      <c r="M15" s="54"/>
    </row>
    <row r="16" spans="1:13" ht="15" thickBot="1" x14ac:dyDescent="0.4">
      <c r="A16" s="58"/>
      <c r="D16" s="2"/>
      <c r="E16" s="2"/>
      <c r="F16" s="3"/>
      <c r="G16" s="4"/>
      <c r="H16" s="4" t="s">
        <v>0</v>
      </c>
      <c r="J16" s="56" t="s">
        <v>23</v>
      </c>
      <c r="K16" s="56" t="s">
        <v>24</v>
      </c>
      <c r="M16" s="55" t="s">
        <v>22</v>
      </c>
    </row>
    <row r="17" spans="1:13" ht="15.5" thickBot="1" x14ac:dyDescent="0.4">
      <c r="A17" s="58"/>
      <c r="D17" s="5"/>
      <c r="E17" s="6" t="s">
        <v>1</v>
      </c>
      <c r="F17" s="23" t="s">
        <v>2</v>
      </c>
      <c r="G17" s="57" t="s">
        <v>42</v>
      </c>
      <c r="H17" s="57" t="s">
        <v>41</v>
      </c>
      <c r="M17" s="57" t="s">
        <v>41</v>
      </c>
    </row>
    <row r="18" spans="1:13" x14ac:dyDescent="0.35">
      <c r="A18" s="58"/>
      <c r="D18" s="26" t="s">
        <v>42</v>
      </c>
      <c r="E18" s="14">
        <v>0.2</v>
      </c>
      <c r="F18" s="8">
        <v>0.25</v>
      </c>
      <c r="G18" s="7"/>
      <c r="H18" s="48">
        <v>-1.2E-2</v>
      </c>
      <c r="J18" s="53">
        <v>0.5</v>
      </c>
      <c r="K18" s="53">
        <v>0.75</v>
      </c>
      <c r="L18" s="10"/>
      <c r="M18" s="11">
        <f>H18/(F18*F19)</f>
        <v>-0.6</v>
      </c>
    </row>
    <row r="19" spans="1:13" x14ac:dyDescent="0.35">
      <c r="A19" s="58"/>
      <c r="D19" s="49" t="s">
        <v>41</v>
      </c>
      <c r="E19" s="50">
        <v>0.1</v>
      </c>
      <c r="F19" s="51">
        <v>0.08</v>
      </c>
      <c r="G19" s="52"/>
      <c r="H19" s="52"/>
      <c r="J19" s="95">
        <f>1-J18</f>
        <v>0.5</v>
      </c>
      <c r="K19" s="95">
        <f>1-K18</f>
        <v>0.25</v>
      </c>
      <c r="L19" s="10"/>
      <c r="M19" s="94"/>
    </row>
    <row r="20" spans="1:13" x14ac:dyDescent="0.35">
      <c r="A20" s="58"/>
      <c r="D20" s="26" t="s">
        <v>43</v>
      </c>
      <c r="E20" s="14"/>
      <c r="F20" s="17">
        <v>0.12</v>
      </c>
      <c r="G20" s="7">
        <v>2.1600000000000001E-2</v>
      </c>
      <c r="H20" s="7">
        <v>7.1999999999999998E-3</v>
      </c>
      <c r="J20" s="14"/>
      <c r="K20" s="14"/>
      <c r="L20" s="10"/>
      <c r="M20" s="14"/>
    </row>
    <row r="21" spans="1:13" ht="15" thickBot="1" x14ac:dyDescent="0.4">
      <c r="A21" s="58"/>
      <c r="D21" s="5" t="s">
        <v>3</v>
      </c>
      <c r="E21" s="5">
        <v>0.06</v>
      </c>
      <c r="F21" s="1"/>
      <c r="G21" s="5"/>
      <c r="H21" s="5"/>
      <c r="J21" s="5"/>
      <c r="K21" s="5"/>
      <c r="M21" s="5"/>
    </row>
    <row r="22" spans="1:13" x14ac:dyDescent="0.35">
      <c r="A22" s="58"/>
      <c r="D22" s="7"/>
      <c r="E22" s="7"/>
      <c r="F22" s="7"/>
      <c r="G22" s="7"/>
      <c r="H22" s="7"/>
      <c r="I22" s="7"/>
    </row>
    <row r="23" spans="1:13" x14ac:dyDescent="0.35">
      <c r="A23" s="58"/>
      <c r="D23" s="7"/>
      <c r="E23" s="7"/>
      <c r="F23" s="7"/>
      <c r="G23" s="7"/>
      <c r="H23" s="7"/>
      <c r="I23" s="7"/>
    </row>
    <row r="24" spans="1:13" x14ac:dyDescent="0.35">
      <c r="A24" s="58">
        <v>5</v>
      </c>
      <c r="B24" s="13" t="s">
        <v>4</v>
      </c>
      <c r="D24" s="7"/>
      <c r="E24" s="7"/>
      <c r="F24" s="7"/>
      <c r="G24" s="7"/>
      <c r="H24" s="7"/>
      <c r="I24" s="7"/>
    </row>
    <row r="25" spans="1:13" x14ac:dyDescent="0.35">
      <c r="A25" s="58"/>
      <c r="D25" s="105" t="s">
        <v>25</v>
      </c>
      <c r="E25" s="105"/>
      <c r="F25" s="106" t="s">
        <v>26</v>
      </c>
      <c r="G25" s="106"/>
      <c r="H25" s="107" t="s">
        <v>27</v>
      </c>
      <c r="I25" s="107"/>
    </row>
    <row r="26" spans="1:13" x14ac:dyDescent="0.35">
      <c r="A26" s="58">
        <v>0</v>
      </c>
      <c r="C26" s="13" t="s">
        <v>28</v>
      </c>
      <c r="D26" s="14">
        <f>J18</f>
        <v>0.5</v>
      </c>
      <c r="E26" s="14">
        <f>J19</f>
        <v>0.5</v>
      </c>
      <c r="F26" s="7">
        <f>F18^2</f>
        <v>6.25E-2</v>
      </c>
      <c r="G26" s="7">
        <f>H18</f>
        <v>-1.2E-2</v>
      </c>
      <c r="H26" s="7">
        <f t="array" ref="H26:I26">MMULT(D26:E26,F26:G27)</f>
        <v>2.5250000000000002E-2</v>
      </c>
      <c r="I26" s="7">
        <v>-2.8E-3</v>
      </c>
    </row>
    <row r="27" spans="1:13" x14ac:dyDescent="0.35">
      <c r="A27" s="58"/>
      <c r="D27" s="7"/>
      <c r="E27" s="7"/>
      <c r="F27" s="7">
        <f>G26</f>
        <v>-1.2E-2</v>
      </c>
      <c r="G27" s="7">
        <f>F19^2</f>
        <v>6.4000000000000003E-3</v>
      </c>
      <c r="H27" s="7"/>
      <c r="I27" s="7"/>
    </row>
    <row r="28" spans="1:13" ht="15" x14ac:dyDescent="0.35">
      <c r="A28" s="58"/>
      <c r="C28" s="30" t="s">
        <v>32</v>
      </c>
      <c r="D28" s="31">
        <f>SQRT(MMULT(H26:I26,J18:J19))</f>
        <v>0.10594810050208546</v>
      </c>
      <c r="E28" s="34" t="s">
        <v>33</v>
      </c>
      <c r="F28" s="32"/>
      <c r="G28" s="32"/>
      <c r="H28" s="103">
        <f>SQRT(D26^2*F$18^2+E26^2*F$19^2+2*D26*E26*H$18)</f>
        <v>0.10594810050208546</v>
      </c>
      <c r="I28" s="7"/>
    </row>
    <row r="29" spans="1:13" x14ac:dyDescent="0.35">
      <c r="A29" s="58"/>
      <c r="D29" s="7"/>
      <c r="E29" s="7"/>
      <c r="F29" s="7"/>
      <c r="G29" s="7"/>
      <c r="H29" s="7"/>
      <c r="I29" s="7"/>
    </row>
    <row r="30" spans="1:13" x14ac:dyDescent="0.35">
      <c r="A30" s="58"/>
      <c r="C30" s="13" t="s">
        <v>29</v>
      </c>
      <c r="D30" s="14">
        <f>K18</f>
        <v>0.75</v>
      </c>
      <c r="E30" s="14">
        <f>K19</f>
        <v>0.25</v>
      </c>
      <c r="F30" s="7">
        <f>F26</f>
        <v>6.25E-2</v>
      </c>
      <c r="G30" s="7">
        <f t="shared" ref="G30:G31" si="0">G26</f>
        <v>-1.2E-2</v>
      </c>
      <c r="H30" s="7">
        <f t="array" ref="H30:I30">MMULT(D30:E30,F30:G31)</f>
        <v>4.3874999999999997E-2</v>
      </c>
      <c r="I30" s="7">
        <v>-7.4000000000000012E-3</v>
      </c>
    </row>
    <row r="31" spans="1:13" x14ac:dyDescent="0.35">
      <c r="A31" s="58"/>
      <c r="D31" s="24"/>
      <c r="E31" s="24"/>
      <c r="F31" s="7">
        <f t="shared" ref="F31" si="1">F27</f>
        <v>-1.2E-2</v>
      </c>
      <c r="G31" s="7">
        <f t="shared" si="0"/>
        <v>6.4000000000000003E-3</v>
      </c>
      <c r="H31" s="7"/>
      <c r="I31" s="7"/>
    </row>
    <row r="32" spans="1:13" ht="15" x14ac:dyDescent="0.35">
      <c r="A32" s="58"/>
      <c r="C32" s="30" t="s">
        <v>44</v>
      </c>
      <c r="D32" s="31">
        <f>SQRT(MMULT(H30:I30,K18:K19))</f>
        <v>0.17622783548577109</v>
      </c>
      <c r="H32" s="103">
        <f>SQRT(D30^2*F$18^2+E30^2*F$19^2+2*D30*E30*H$18)</f>
        <v>0.17622783548577109</v>
      </c>
      <c r="I32" s="7"/>
    </row>
    <row r="33" spans="1:10" x14ac:dyDescent="0.35">
      <c r="A33" s="58"/>
      <c r="C33" s="27"/>
      <c r="D33" s="28"/>
      <c r="E33" s="29"/>
      <c r="F33" s="7"/>
      <c r="G33" s="7"/>
      <c r="H33" s="7"/>
      <c r="I33" s="7"/>
    </row>
    <row r="34" spans="1:10" x14ac:dyDescent="0.35">
      <c r="A34" s="58">
        <v>5</v>
      </c>
      <c r="B34" s="13" t="s">
        <v>5</v>
      </c>
      <c r="C34" s="28" t="s">
        <v>30</v>
      </c>
      <c r="D34" s="28">
        <f>SUMPRODUCT(J18:J19,E18:E19)</f>
        <v>0.15000000000000002</v>
      </c>
      <c r="E34" s="29"/>
      <c r="F34" s="7"/>
      <c r="G34" s="7"/>
      <c r="H34" s="7"/>
      <c r="I34" s="7"/>
    </row>
    <row r="35" spans="1:10" x14ac:dyDescent="0.35">
      <c r="A35" s="58"/>
      <c r="C35" s="36" t="s">
        <v>31</v>
      </c>
      <c r="D35" s="31">
        <f>SUMPRODUCT(K18:K19,E18:E19)</f>
        <v>0.17500000000000002</v>
      </c>
      <c r="E35" s="34" t="s">
        <v>34</v>
      </c>
      <c r="F35" s="32"/>
      <c r="G35" s="32"/>
      <c r="H35" s="7"/>
      <c r="I35" s="7"/>
    </row>
    <row r="36" spans="1:10" x14ac:dyDescent="0.35">
      <c r="A36" s="58"/>
      <c r="C36" s="27"/>
      <c r="D36" s="28"/>
      <c r="E36" s="29"/>
      <c r="F36" s="7"/>
      <c r="G36" s="7"/>
      <c r="H36" s="7"/>
      <c r="I36" s="7"/>
    </row>
    <row r="37" spans="1:10" x14ac:dyDescent="0.35">
      <c r="A37" s="58">
        <v>7.5</v>
      </c>
      <c r="B37" s="13" t="s">
        <v>6</v>
      </c>
      <c r="C37" s="27"/>
      <c r="D37" s="28"/>
      <c r="E37" s="29"/>
      <c r="F37" s="7"/>
      <c r="G37" s="7"/>
      <c r="H37" s="7"/>
      <c r="I37" s="7"/>
    </row>
    <row r="38" spans="1:10" ht="16.5" x14ac:dyDescent="0.35">
      <c r="A38" s="58"/>
      <c r="C38" s="27"/>
      <c r="D38" s="96" t="s">
        <v>12</v>
      </c>
      <c r="E38" s="29"/>
      <c r="F38" s="106" t="s">
        <v>26</v>
      </c>
      <c r="G38" s="106"/>
      <c r="H38" s="7"/>
      <c r="I38" s="15" t="s">
        <v>19</v>
      </c>
    </row>
    <row r="39" spans="1:10" x14ac:dyDescent="0.35">
      <c r="A39" s="58"/>
      <c r="C39" s="27"/>
      <c r="D39" s="10">
        <f>E18-$E$21</f>
        <v>0.14000000000000001</v>
      </c>
      <c r="E39" s="29"/>
      <c r="F39" s="7">
        <f>F26</f>
        <v>6.25E-2</v>
      </c>
      <c r="G39" s="7">
        <f t="shared" ref="G39:G40" si="2">G26</f>
        <v>-1.2E-2</v>
      </c>
      <c r="H39" s="7"/>
      <c r="I39" s="7">
        <f t="array" ref="I39:J40">MINVERSE(F39:G40)</f>
        <v>25</v>
      </c>
      <c r="J39">
        <v>46.874999999999993</v>
      </c>
    </row>
    <row r="40" spans="1:10" x14ac:dyDescent="0.35">
      <c r="A40" s="58"/>
      <c r="C40" s="27"/>
      <c r="D40" s="10">
        <f>E19-$E$21</f>
        <v>4.0000000000000008E-2</v>
      </c>
      <c r="E40" s="29"/>
      <c r="F40" s="7">
        <f t="shared" ref="F40" si="3">F27</f>
        <v>-1.2E-2</v>
      </c>
      <c r="G40" s="7">
        <f t="shared" si="2"/>
        <v>6.4000000000000003E-3</v>
      </c>
      <c r="H40" s="7"/>
      <c r="I40" s="7">
        <v>46.874999999999993</v>
      </c>
      <c r="J40">
        <v>244.14062499999997</v>
      </c>
    </row>
    <row r="41" spans="1:10" x14ac:dyDescent="0.35">
      <c r="A41" s="58"/>
      <c r="C41" s="27"/>
      <c r="D41" s="28"/>
      <c r="E41" s="29"/>
      <c r="F41" s="7"/>
      <c r="G41" s="7"/>
      <c r="H41" s="7"/>
      <c r="I41" s="7"/>
    </row>
    <row r="42" spans="1:10" x14ac:dyDescent="0.35">
      <c r="A42" s="58"/>
      <c r="C42" s="27"/>
      <c r="D42" s="19" t="s">
        <v>14</v>
      </c>
      <c r="E42" s="29"/>
      <c r="F42" s="7"/>
      <c r="G42" s="7"/>
      <c r="H42" s="7"/>
      <c r="I42" s="7"/>
    </row>
    <row r="43" spans="1:10" x14ac:dyDescent="0.35">
      <c r="A43" s="58"/>
      <c r="C43" s="27"/>
      <c r="D43" s="10">
        <f t="array" ref="D43:D44">MMULT(I39:J40,D39:D40)</f>
        <v>5.375</v>
      </c>
      <c r="E43" s="29"/>
      <c r="F43" s="7"/>
      <c r="G43" s="7"/>
      <c r="H43" s="7"/>
      <c r="I43" s="7"/>
    </row>
    <row r="44" spans="1:10" x14ac:dyDescent="0.35">
      <c r="A44" s="58"/>
      <c r="C44" s="27"/>
      <c r="D44" s="37">
        <v>16.328125</v>
      </c>
      <c r="E44" s="29"/>
      <c r="F44" s="7"/>
      <c r="G44" s="7"/>
      <c r="H44" s="7"/>
      <c r="I44" s="7"/>
    </row>
    <row r="45" spans="1:10" x14ac:dyDescent="0.35">
      <c r="A45" s="58"/>
      <c r="C45" s="13" t="s">
        <v>13</v>
      </c>
      <c r="D45" s="14">
        <f>D43+D44</f>
        <v>21.703125</v>
      </c>
      <c r="E45" s="25"/>
      <c r="F45" s="7"/>
      <c r="G45" s="7"/>
      <c r="H45" s="7"/>
      <c r="I45" s="7"/>
    </row>
    <row r="46" spans="1:10" x14ac:dyDescent="0.35">
      <c r="A46" s="58"/>
      <c r="E46" s="7"/>
      <c r="F46" s="7"/>
      <c r="G46" s="7"/>
      <c r="H46" s="7"/>
      <c r="I46" s="7"/>
    </row>
    <row r="47" spans="1:10" ht="16.5" x14ac:dyDescent="0.35">
      <c r="A47" s="58"/>
      <c r="D47" s="96" t="s">
        <v>15</v>
      </c>
      <c r="E47" s="7"/>
      <c r="F47" s="106" t="s">
        <v>17</v>
      </c>
      <c r="G47" s="106"/>
      <c r="H47" s="7"/>
      <c r="I47" s="106" t="s">
        <v>18</v>
      </c>
      <c r="J47" s="106"/>
    </row>
    <row r="48" spans="1:10" ht="14.5" customHeight="1" x14ac:dyDescent="0.35">
      <c r="A48" s="58"/>
      <c r="C48" s="60" t="s">
        <v>42</v>
      </c>
      <c r="D48" s="61">
        <f>D43/$D$45</f>
        <v>0.24766018718502519</v>
      </c>
      <c r="E48" s="7"/>
      <c r="F48" s="38">
        <f>D48</f>
        <v>0.24766018718502519</v>
      </c>
      <c r="G48" s="38">
        <f>D49</f>
        <v>0.75233981281497475</v>
      </c>
      <c r="H48" s="7"/>
      <c r="I48" s="7">
        <f t="array" ref="I48:J48">MMULT(F48:G48,F39:G40)</f>
        <v>6.4506839452843773E-3</v>
      </c>
      <c r="J48">
        <v>1.8430525557955363E-3</v>
      </c>
    </row>
    <row r="49" spans="1:9" x14ac:dyDescent="0.35">
      <c r="A49" s="58"/>
      <c r="C49" s="62" t="s">
        <v>41</v>
      </c>
      <c r="D49" s="63">
        <f>D44/$D$45</f>
        <v>0.75233981281497475</v>
      </c>
      <c r="E49" s="7"/>
      <c r="F49" s="7"/>
      <c r="G49" s="7"/>
      <c r="H49" s="7"/>
      <c r="I49" s="7"/>
    </row>
    <row r="50" spans="1:9" x14ac:dyDescent="0.35">
      <c r="A50" s="58"/>
      <c r="C50" s="40" t="s">
        <v>16</v>
      </c>
      <c r="D50" s="31">
        <f>D48+D49</f>
        <v>1</v>
      </c>
      <c r="E50" s="7"/>
      <c r="F50" s="7"/>
      <c r="G50" s="7"/>
      <c r="H50" s="7"/>
      <c r="I50" s="7"/>
    </row>
    <row r="51" spans="1:9" x14ac:dyDescent="0.35">
      <c r="A51" s="58"/>
      <c r="C51" s="58"/>
      <c r="E51" s="7"/>
      <c r="F51" s="7"/>
      <c r="G51" s="7"/>
      <c r="H51" s="7"/>
      <c r="I51" s="7"/>
    </row>
    <row r="52" spans="1:9" x14ac:dyDescent="0.35">
      <c r="A52" s="58">
        <v>7.5</v>
      </c>
      <c r="B52" s="13" t="s">
        <v>7</v>
      </c>
      <c r="D52" s="19"/>
      <c r="E52" s="7"/>
      <c r="F52" s="7"/>
      <c r="G52" s="7"/>
      <c r="H52" s="7"/>
      <c r="I52" s="7"/>
    </row>
    <row r="53" spans="1:9" x14ac:dyDescent="0.35">
      <c r="A53" s="58"/>
      <c r="B53" s="13"/>
      <c r="C53" s="35" t="s">
        <v>38</v>
      </c>
      <c r="D53" s="68">
        <v>0.08</v>
      </c>
      <c r="E53" s="7"/>
      <c r="F53" s="7"/>
      <c r="G53" s="7"/>
      <c r="H53" s="7"/>
      <c r="I53" s="7"/>
    </row>
    <row r="54" spans="1:9" x14ac:dyDescent="0.35">
      <c r="A54" s="58"/>
      <c r="B54" s="13"/>
      <c r="C54" s="35"/>
      <c r="D54" s="68"/>
      <c r="E54" s="7"/>
      <c r="F54" s="7"/>
      <c r="G54" s="7"/>
      <c r="H54" s="7"/>
      <c r="I54" s="7"/>
    </row>
    <row r="55" spans="1:9" x14ac:dyDescent="0.35">
      <c r="A55" s="58"/>
      <c r="C55" t="s">
        <v>8</v>
      </c>
      <c r="D55" s="33">
        <f>SUMPRODUCT(D48:D49,E18:E19)</f>
        <v>0.12476601871850253</v>
      </c>
      <c r="E55" s="7"/>
      <c r="F55" s="7"/>
      <c r="G55" s="7"/>
      <c r="H55" s="7"/>
      <c r="I55" s="7"/>
    </row>
    <row r="56" spans="1:9" ht="15" x14ac:dyDescent="0.35">
      <c r="A56" s="58"/>
      <c r="C56" s="12" t="s">
        <v>9</v>
      </c>
      <c r="D56" s="68">
        <f>SQRT(MMULT(I48:J48,D48:D49))</f>
        <v>5.462764326049533E-2</v>
      </c>
      <c r="E56" s="7"/>
      <c r="F56" s="7"/>
      <c r="G56" s="7"/>
      <c r="H56" s="7"/>
      <c r="I56" s="7"/>
    </row>
    <row r="57" spans="1:9" x14ac:dyDescent="0.35">
      <c r="A57" s="58"/>
      <c r="C57" s="9"/>
      <c r="D57" s="69"/>
      <c r="E57" s="7"/>
      <c r="F57" s="7"/>
      <c r="G57" s="7"/>
      <c r="H57" s="7"/>
      <c r="I57" s="7"/>
    </row>
    <row r="58" spans="1:9" x14ac:dyDescent="0.35">
      <c r="A58" s="58"/>
      <c r="C58" s="64" t="s">
        <v>47</v>
      </c>
      <c r="D58" s="65">
        <f>(D53-D55)/(E21-D55)</f>
        <v>0.69119608714984437</v>
      </c>
      <c r="E58" s="7"/>
      <c r="F58" s="38"/>
      <c r="G58" s="7"/>
      <c r="H58" s="7"/>
      <c r="I58" s="7"/>
    </row>
    <row r="59" spans="1:9" x14ac:dyDescent="0.35">
      <c r="A59" s="58"/>
      <c r="D59" s="66" t="s">
        <v>48</v>
      </c>
      <c r="E59" s="47" t="s">
        <v>49</v>
      </c>
    </row>
    <row r="60" spans="1:9" x14ac:dyDescent="0.35">
      <c r="A60" s="58"/>
      <c r="C60" s="41" t="s">
        <v>35</v>
      </c>
      <c r="D60" s="31">
        <f>1-D58</f>
        <v>0.30880391285015563</v>
      </c>
      <c r="E60" s="42">
        <f>D60*$E$64</f>
        <v>154401.95642507781</v>
      </c>
      <c r="F60" s="43" t="s">
        <v>39</v>
      </c>
      <c r="G60" s="20"/>
      <c r="H60" s="20"/>
      <c r="I60" s="20"/>
    </row>
    <row r="61" spans="1:9" x14ac:dyDescent="0.35">
      <c r="A61" s="58"/>
      <c r="C61" s="40" t="s">
        <v>46</v>
      </c>
      <c r="D61" s="31">
        <f>D58*D48</f>
        <v>0.17118175232508745</v>
      </c>
      <c r="E61" s="42">
        <f t="shared" ref="E61:E62" si="4">D61*$E$64</f>
        <v>85590.876162543718</v>
      </c>
      <c r="F61" s="43" t="s">
        <v>89</v>
      </c>
      <c r="G61" s="20"/>
      <c r="H61" s="20"/>
      <c r="I61" s="20"/>
    </row>
    <row r="62" spans="1:9" x14ac:dyDescent="0.35">
      <c r="A62" s="58"/>
      <c r="C62" s="40" t="s">
        <v>45</v>
      </c>
      <c r="D62" s="44">
        <f>D58*D49</f>
        <v>0.5200143348247569</v>
      </c>
      <c r="E62" s="45">
        <f t="shared" si="4"/>
        <v>260007.16741237845</v>
      </c>
      <c r="F62" s="43" t="s">
        <v>90</v>
      </c>
      <c r="G62" s="20"/>
      <c r="H62" s="20"/>
      <c r="I62" s="20"/>
    </row>
    <row r="63" spans="1:9" x14ac:dyDescent="0.35">
      <c r="A63" s="58"/>
      <c r="C63" s="41" t="s">
        <v>36</v>
      </c>
      <c r="D63" s="46">
        <f>SUM(D60:D62)</f>
        <v>1</v>
      </c>
      <c r="E63" s="42">
        <f>SUM(E60:E62)</f>
        <v>500000</v>
      </c>
      <c r="G63" s="7"/>
      <c r="H63" s="7"/>
      <c r="I63" s="7"/>
    </row>
    <row r="64" spans="1:9" x14ac:dyDescent="0.35">
      <c r="A64" s="58"/>
      <c r="C64" s="39" t="s">
        <v>37</v>
      </c>
      <c r="E64" s="67">
        <v>500000</v>
      </c>
      <c r="F64" s="7"/>
      <c r="G64" s="7"/>
      <c r="H64" s="7"/>
      <c r="I64" s="7"/>
    </row>
    <row r="65" spans="1:9" x14ac:dyDescent="0.35">
      <c r="A65" s="58"/>
      <c r="C65" s="39"/>
      <c r="E65" s="67"/>
      <c r="F65" s="7"/>
      <c r="G65" s="7"/>
      <c r="H65" s="7"/>
      <c r="I65" s="7"/>
    </row>
    <row r="66" spans="1:9" x14ac:dyDescent="0.35">
      <c r="A66" s="58">
        <v>10</v>
      </c>
      <c r="B66" s="13" t="s">
        <v>40</v>
      </c>
      <c r="C66" s="39"/>
      <c r="E66" s="67"/>
      <c r="F66" s="7"/>
      <c r="G66" s="7"/>
      <c r="H66" s="7"/>
      <c r="I66" s="7"/>
    </row>
    <row r="67" spans="1:9" x14ac:dyDescent="0.35">
      <c r="A67" s="58"/>
      <c r="C67" s="39"/>
      <c r="D67" s="70" t="s">
        <v>50</v>
      </c>
      <c r="E67" s="67"/>
      <c r="F67" s="7"/>
      <c r="G67" s="7"/>
      <c r="H67" s="7"/>
      <c r="I67" s="7"/>
    </row>
    <row r="68" spans="1:9" ht="23" x14ac:dyDescent="0.5">
      <c r="A68" s="58"/>
      <c r="C68" s="60" t="s">
        <v>42</v>
      </c>
      <c r="D68" s="73">
        <f>G20/($F$20^2)</f>
        <v>1.5000000000000002</v>
      </c>
      <c r="E68" s="104" t="s">
        <v>93</v>
      </c>
      <c r="F68" s="7"/>
      <c r="G68" s="7"/>
      <c r="H68" s="7"/>
      <c r="I68" s="7"/>
    </row>
    <row r="69" spans="1:9" x14ac:dyDescent="0.35">
      <c r="A69" s="58"/>
      <c r="C69" s="62" t="s">
        <v>41</v>
      </c>
      <c r="D69" s="73">
        <f>H20/($F$20^2)</f>
        <v>0.5</v>
      </c>
      <c r="E69" s="67"/>
      <c r="F69" s="7"/>
      <c r="G69" s="7"/>
      <c r="H69" s="7"/>
      <c r="I69" s="7"/>
    </row>
    <row r="70" spans="1:9" ht="16.5" x14ac:dyDescent="0.45">
      <c r="A70" s="58"/>
      <c r="C70" s="74" t="s">
        <v>51</v>
      </c>
      <c r="D70" s="73">
        <f>SUMPRODUCT($D$68:$D$69,J18:J19)</f>
        <v>1</v>
      </c>
      <c r="F70" s="7"/>
      <c r="G70" s="7"/>
      <c r="H70" s="7"/>
      <c r="I70" s="7"/>
    </row>
    <row r="71" spans="1:9" ht="16.5" x14ac:dyDescent="0.45">
      <c r="A71" s="58"/>
      <c r="C71" s="74" t="s">
        <v>52</v>
      </c>
      <c r="D71" s="73">
        <f>SUMPRODUCT($D$68:$D$69,K18:K19)</f>
        <v>1.2500000000000002</v>
      </c>
      <c r="E71" s="67"/>
      <c r="F71" s="7"/>
      <c r="G71" s="7"/>
      <c r="H71" s="7"/>
      <c r="I71" s="7"/>
    </row>
    <row r="72" spans="1:9" x14ac:dyDescent="0.35">
      <c r="A72" s="58"/>
      <c r="C72" s="72"/>
      <c r="D72" s="71"/>
      <c r="E72" s="67"/>
      <c r="F72" s="7"/>
      <c r="G72" s="7"/>
      <c r="H72" s="7"/>
      <c r="I72" s="7"/>
    </row>
    <row r="73" spans="1:9" x14ac:dyDescent="0.35">
      <c r="A73" s="58">
        <v>5</v>
      </c>
      <c r="B73" s="13" t="s">
        <v>53</v>
      </c>
      <c r="C73" s="72"/>
      <c r="D73" s="71"/>
      <c r="E73" s="67"/>
      <c r="F73" s="7"/>
      <c r="G73" s="7"/>
      <c r="H73" s="7"/>
      <c r="I73" s="7"/>
    </row>
    <row r="74" spans="1:9" ht="16.5" x14ac:dyDescent="0.45">
      <c r="A74" s="58"/>
      <c r="C74" s="9" t="s">
        <v>54</v>
      </c>
      <c r="D74" s="100">
        <f>(E19-E21)/D69</f>
        <v>8.0000000000000016E-2</v>
      </c>
      <c r="E74" s="67"/>
      <c r="F74" s="7"/>
      <c r="G74" s="7"/>
      <c r="H74" s="7"/>
      <c r="I74" s="7"/>
    </row>
    <row r="75" spans="1:9" ht="16.5" x14ac:dyDescent="0.45">
      <c r="A75" s="58"/>
      <c r="C75" s="9" t="s">
        <v>55</v>
      </c>
      <c r="D75" s="100">
        <f>E21</f>
        <v>0.06</v>
      </c>
      <c r="E75" s="67"/>
      <c r="F75" s="7"/>
      <c r="G75" s="7"/>
      <c r="H75" s="7"/>
      <c r="I75" s="7"/>
    </row>
    <row r="76" spans="1:9" x14ac:dyDescent="0.35">
      <c r="A76" s="58"/>
      <c r="C76" s="72"/>
      <c r="D76" s="71"/>
      <c r="E76" s="67"/>
      <c r="F76" s="7"/>
      <c r="G76" s="7"/>
      <c r="H76" s="7"/>
      <c r="I76" s="7"/>
    </row>
    <row r="77" spans="1:9" x14ac:dyDescent="0.35">
      <c r="A77" s="58">
        <v>5</v>
      </c>
      <c r="B77" s="13" t="s">
        <v>56</v>
      </c>
      <c r="C77" s="72"/>
      <c r="D77" s="71"/>
      <c r="E77" s="67"/>
      <c r="F77" s="7"/>
      <c r="G77" s="7"/>
      <c r="H77" s="7"/>
      <c r="I77" s="7"/>
    </row>
    <row r="78" spans="1:9" ht="16.5" x14ac:dyDescent="0.45">
      <c r="A78" s="58"/>
      <c r="C78" s="72"/>
      <c r="D78" s="19" t="s">
        <v>58</v>
      </c>
      <c r="E78" s="67"/>
      <c r="F78" s="7"/>
      <c r="G78" s="7"/>
      <c r="H78" s="7"/>
      <c r="I78" s="7"/>
    </row>
    <row r="79" spans="1:9" x14ac:dyDescent="0.35">
      <c r="A79" s="58"/>
      <c r="C79" s="60" t="s">
        <v>42</v>
      </c>
      <c r="D79" s="75">
        <f>$D$75+$D$74*D68</f>
        <v>0.18000000000000005</v>
      </c>
      <c r="E79" s="67"/>
      <c r="F79" s="7"/>
      <c r="G79" s="7"/>
      <c r="H79" s="7"/>
      <c r="I79" s="7"/>
    </row>
    <row r="80" spans="1:9" x14ac:dyDescent="0.35">
      <c r="A80" s="58"/>
      <c r="C80" s="60" t="s">
        <v>41</v>
      </c>
      <c r="D80" s="75">
        <f t="shared" ref="D80:D81" si="5">$D$75+$D$74*D69</f>
        <v>0.1</v>
      </c>
      <c r="E80" s="67"/>
      <c r="F80" s="7"/>
      <c r="G80" s="7"/>
      <c r="H80" s="7"/>
      <c r="I80" s="7"/>
    </row>
    <row r="81" spans="1:9" x14ac:dyDescent="0.35">
      <c r="A81" s="58"/>
      <c r="C81" s="60" t="s">
        <v>43</v>
      </c>
      <c r="D81" s="75">
        <f t="shared" si="5"/>
        <v>0.14000000000000001</v>
      </c>
      <c r="E81" s="67"/>
      <c r="F81" s="7"/>
      <c r="G81" s="7"/>
      <c r="H81" s="7"/>
      <c r="I81" s="7"/>
    </row>
    <row r="82" spans="1:9" x14ac:dyDescent="0.35">
      <c r="A82" s="58"/>
      <c r="C82" s="72"/>
      <c r="D82" s="71"/>
      <c r="E82" s="67"/>
      <c r="F82" s="7"/>
      <c r="G82" s="7"/>
      <c r="H82" s="7"/>
      <c r="I82" s="7"/>
    </row>
    <row r="83" spans="1:9" x14ac:dyDescent="0.35">
      <c r="A83" s="58">
        <v>5</v>
      </c>
      <c r="B83" s="13" t="s">
        <v>57</v>
      </c>
      <c r="C83" s="72"/>
      <c r="D83" s="71"/>
      <c r="E83" s="67"/>
      <c r="F83" s="7"/>
      <c r="G83" s="7"/>
      <c r="H83" s="7"/>
      <c r="I83" s="7"/>
    </row>
    <row r="84" spans="1:9" ht="16.5" x14ac:dyDescent="0.45">
      <c r="A84" s="58"/>
      <c r="C84" s="76" t="s">
        <v>59</v>
      </c>
      <c r="D84" s="101">
        <f>D79</f>
        <v>0.18000000000000005</v>
      </c>
      <c r="E84" s="67"/>
      <c r="F84" s="7"/>
      <c r="G84" s="7"/>
      <c r="H84" s="7"/>
      <c r="I84" s="7"/>
    </row>
    <row r="85" spans="1:9" ht="16.5" x14ac:dyDescent="0.45">
      <c r="A85" s="58"/>
      <c r="C85" s="9" t="s">
        <v>60</v>
      </c>
      <c r="D85" s="77">
        <f>E18</f>
        <v>0.2</v>
      </c>
      <c r="E85" s="67"/>
      <c r="F85" s="7"/>
      <c r="G85" s="7"/>
      <c r="H85" s="7"/>
      <c r="I85" s="7"/>
    </row>
    <row r="86" spans="1:9" x14ac:dyDescent="0.35">
      <c r="A86" s="58"/>
      <c r="C86" s="72"/>
      <c r="D86" s="71"/>
      <c r="E86" s="67"/>
      <c r="F86" s="7"/>
      <c r="G86" s="7"/>
      <c r="H86" s="7"/>
      <c r="I86" s="7"/>
    </row>
    <row r="87" spans="1:9" x14ac:dyDescent="0.35">
      <c r="A87" s="58"/>
      <c r="C87" s="72"/>
      <c r="D87" s="71"/>
      <c r="E87" s="67"/>
      <c r="F87" s="7"/>
      <c r="G87" s="7"/>
      <c r="H87" s="7"/>
      <c r="I87" s="7"/>
    </row>
    <row r="88" spans="1:9" x14ac:dyDescent="0.35">
      <c r="A88" s="58"/>
      <c r="D88" s="71"/>
      <c r="E88" s="67"/>
      <c r="F88" s="7"/>
      <c r="G88" s="7"/>
      <c r="H88" s="7"/>
      <c r="I88" s="7"/>
    </row>
    <row r="89" spans="1:9" x14ac:dyDescent="0.35">
      <c r="A89" s="58"/>
      <c r="D89" s="71"/>
      <c r="E89" s="67"/>
      <c r="F89" s="7"/>
      <c r="G89" s="7"/>
      <c r="H89" s="7"/>
      <c r="I89" s="7"/>
    </row>
    <row r="90" spans="1:9" x14ac:dyDescent="0.35">
      <c r="A90" s="58"/>
      <c r="C90" s="72"/>
      <c r="D90" s="71"/>
      <c r="E90" s="67"/>
      <c r="F90" s="7"/>
      <c r="G90" s="7"/>
      <c r="H90" s="7"/>
      <c r="I90" s="7"/>
    </row>
    <row r="91" spans="1:9" ht="15" thickBot="1" x14ac:dyDescent="0.4">
      <c r="A91" s="58">
        <v>5</v>
      </c>
      <c r="B91" s="13" t="s">
        <v>61</v>
      </c>
      <c r="C91" s="72"/>
      <c r="D91" s="71"/>
      <c r="E91" s="67"/>
      <c r="F91" s="7"/>
      <c r="G91" s="7"/>
      <c r="H91" s="7"/>
      <c r="I91" s="7"/>
    </row>
    <row r="92" spans="1:9" ht="15" thickBot="1" x14ac:dyDescent="0.4">
      <c r="A92" s="58"/>
      <c r="C92" s="78"/>
      <c r="D92" s="79" t="s">
        <v>41</v>
      </c>
      <c r="E92" s="79" t="s">
        <v>42</v>
      </c>
      <c r="F92" s="7"/>
      <c r="G92" s="7"/>
      <c r="H92" s="7"/>
      <c r="I92" s="7"/>
    </row>
    <row r="93" spans="1:9" ht="15" thickBot="1" x14ac:dyDescent="0.4">
      <c r="A93" s="58"/>
      <c r="C93" s="80" t="s">
        <v>62</v>
      </c>
      <c r="D93" s="81">
        <v>4</v>
      </c>
      <c r="E93" s="81">
        <v>4.8600000000000003</v>
      </c>
      <c r="F93" s="7"/>
      <c r="G93" s="7"/>
      <c r="H93" s="7"/>
      <c r="I93" s="7"/>
    </row>
    <row r="94" spans="1:9" ht="15" thickBot="1" x14ac:dyDescent="0.4">
      <c r="A94" s="58"/>
      <c r="C94" s="84" t="s">
        <v>64</v>
      </c>
      <c r="D94" s="82">
        <v>1.29E-2</v>
      </c>
      <c r="E94" s="82">
        <v>2.63E-2</v>
      </c>
      <c r="F94" s="7"/>
      <c r="G94" s="7"/>
      <c r="H94" s="7"/>
      <c r="I94" s="7"/>
    </row>
    <row r="95" spans="1:9" ht="15" thickBot="1" x14ac:dyDescent="0.4">
      <c r="A95" s="58"/>
      <c r="C95" s="80" t="s">
        <v>63</v>
      </c>
      <c r="D95" s="82">
        <v>2E-3</v>
      </c>
      <c r="E95" s="82">
        <v>4.0000000000000001E-3</v>
      </c>
      <c r="F95" s="7"/>
      <c r="G95" s="7"/>
      <c r="H95" s="7"/>
      <c r="I95" s="7"/>
    </row>
    <row r="96" spans="1:9" ht="15" thickBot="1" x14ac:dyDescent="0.4">
      <c r="A96" s="58"/>
      <c r="C96" s="84" t="s">
        <v>92</v>
      </c>
      <c r="D96" s="82">
        <f>D94+D95</f>
        <v>1.49E-2</v>
      </c>
      <c r="E96" s="82">
        <f>E94+E95</f>
        <v>3.0300000000000001E-2</v>
      </c>
      <c r="F96" s="7"/>
      <c r="G96" s="7"/>
      <c r="H96" s="7"/>
      <c r="I96" s="7"/>
    </row>
    <row r="97" spans="1:9" x14ac:dyDescent="0.35">
      <c r="A97" s="58"/>
      <c r="C97" s="26"/>
      <c r="D97" s="102"/>
      <c r="E97" s="102"/>
      <c r="F97" s="7"/>
      <c r="G97" s="7"/>
      <c r="H97" s="7"/>
      <c r="I97" s="7"/>
    </row>
    <row r="98" spans="1:9" x14ac:dyDescent="0.35">
      <c r="A98" s="58"/>
      <c r="C98" s="60" t="s">
        <v>41</v>
      </c>
      <c r="D98" s="85">
        <f>D93/(D96-D95)</f>
        <v>310.07751937984494</v>
      </c>
      <c r="E98" s="67"/>
      <c r="F98" s="7"/>
      <c r="G98" s="7"/>
      <c r="H98" s="7"/>
      <c r="I98" s="7"/>
    </row>
    <row r="99" spans="1:9" x14ac:dyDescent="0.35">
      <c r="A99" s="58"/>
      <c r="C99" s="60" t="s">
        <v>42</v>
      </c>
      <c r="D99" s="85">
        <f>E93/(E96-E95)</f>
        <v>184.79087452471484</v>
      </c>
      <c r="E99" s="67"/>
      <c r="F99" s="7"/>
      <c r="G99" s="7"/>
      <c r="H99" s="7"/>
      <c r="I99" s="7"/>
    </row>
    <row r="100" spans="1:9" x14ac:dyDescent="0.35">
      <c r="A100" s="58"/>
      <c r="E100" s="67"/>
      <c r="F100" s="7"/>
      <c r="G100" s="7"/>
      <c r="H100" s="7"/>
      <c r="I100" s="7"/>
    </row>
    <row r="101" spans="1:9" x14ac:dyDescent="0.35">
      <c r="A101" s="58"/>
      <c r="B101" s="13" t="s">
        <v>65</v>
      </c>
      <c r="C101" s="9"/>
      <c r="E101" s="67"/>
      <c r="F101" s="7"/>
      <c r="G101" s="7"/>
      <c r="H101" s="7"/>
      <c r="I101" s="7"/>
    </row>
    <row r="102" spans="1:9" x14ac:dyDescent="0.35">
      <c r="A102" s="58"/>
      <c r="C102" t="s">
        <v>67</v>
      </c>
      <c r="D102" s="86">
        <v>100</v>
      </c>
      <c r="E102" s="67"/>
      <c r="F102" s="7"/>
      <c r="G102" s="7"/>
      <c r="H102" s="7"/>
      <c r="I102" s="7"/>
    </row>
    <row r="103" spans="1:9" x14ac:dyDescent="0.35">
      <c r="A103" s="58"/>
      <c r="C103" s="9" t="s">
        <v>66</v>
      </c>
      <c r="D103" s="83">
        <v>0.04</v>
      </c>
      <c r="E103" s="67"/>
      <c r="F103" s="7"/>
      <c r="G103" s="7"/>
      <c r="H103" s="7"/>
      <c r="I103" s="7"/>
    </row>
    <row r="104" spans="1:9" x14ac:dyDescent="0.35">
      <c r="A104" s="58"/>
      <c r="C104" s="9" t="s">
        <v>69</v>
      </c>
      <c r="D104">
        <v>4</v>
      </c>
      <c r="E104" s="67" t="s">
        <v>70</v>
      </c>
      <c r="F104" s="7"/>
      <c r="G104" s="7"/>
      <c r="H104" s="7"/>
      <c r="I104" s="7"/>
    </row>
    <row r="105" spans="1:9" x14ac:dyDescent="0.35">
      <c r="A105" s="58"/>
      <c r="C105" s="9" t="s">
        <v>71</v>
      </c>
      <c r="D105" s="83">
        <v>0.03</v>
      </c>
      <c r="E105" s="67"/>
      <c r="F105" s="7"/>
      <c r="G105" s="7"/>
      <c r="H105" s="7"/>
      <c r="I105" s="7"/>
    </row>
    <row r="106" spans="1:9" x14ac:dyDescent="0.35">
      <c r="A106" s="58"/>
      <c r="B106" s="13"/>
      <c r="C106" s="9"/>
      <c r="E106" s="67"/>
      <c r="F106" s="7"/>
      <c r="G106" s="7"/>
      <c r="H106" s="7"/>
      <c r="I106" s="7"/>
    </row>
    <row r="107" spans="1:9" x14ac:dyDescent="0.35">
      <c r="C107" s="99" t="s">
        <v>91</v>
      </c>
      <c r="D107" s="97">
        <v>0</v>
      </c>
      <c r="E107" s="98">
        <v>1</v>
      </c>
      <c r="F107" s="98">
        <v>2</v>
      </c>
      <c r="G107" s="98">
        <v>3</v>
      </c>
      <c r="H107" s="98">
        <v>4</v>
      </c>
      <c r="I107" s="7"/>
    </row>
    <row r="108" spans="1:9" x14ac:dyDescent="0.35">
      <c r="A108" s="58">
        <v>5</v>
      </c>
      <c r="B108" s="13" t="s">
        <v>21</v>
      </c>
      <c r="C108" s="9" t="s">
        <v>72</v>
      </c>
      <c r="E108" s="7">
        <f>(1+$D$105)^(-E107)</f>
        <v>0.970873786407767</v>
      </c>
      <c r="F108" s="7">
        <f t="shared" ref="F108:H108" si="6">(1+$D$105)^(-F107)</f>
        <v>0.94259590913375435</v>
      </c>
      <c r="G108" s="7">
        <f t="shared" si="6"/>
        <v>0.91514165935315961</v>
      </c>
      <c r="H108" s="7">
        <f t="shared" si="6"/>
        <v>0.888487047915689</v>
      </c>
      <c r="I108" s="7"/>
    </row>
    <row r="109" spans="1:9" x14ac:dyDescent="0.35">
      <c r="A109" s="58"/>
      <c r="C109" s="9" t="s">
        <v>73</v>
      </c>
      <c r="E109" s="67">
        <f>D103*D102</f>
        <v>4</v>
      </c>
      <c r="F109" s="67">
        <f>E109</f>
        <v>4</v>
      </c>
      <c r="G109" s="67">
        <f>F109</f>
        <v>4</v>
      </c>
      <c r="H109" s="67">
        <f>G109</f>
        <v>4</v>
      </c>
      <c r="I109" s="7"/>
    </row>
    <row r="110" spans="1:9" x14ac:dyDescent="0.35">
      <c r="A110" s="58"/>
      <c r="C110" t="s">
        <v>67</v>
      </c>
      <c r="E110" s="67"/>
      <c r="F110" s="7"/>
      <c r="G110" s="67"/>
      <c r="H110" s="67">
        <v>100</v>
      </c>
      <c r="I110" s="7"/>
    </row>
    <row r="111" spans="1:9" x14ac:dyDescent="0.35">
      <c r="A111" s="58"/>
      <c r="C111" s="9" t="s">
        <v>74</v>
      </c>
      <c r="E111" s="67">
        <f>SUM(E109:E110)</f>
        <v>4</v>
      </c>
      <c r="F111" s="67">
        <f t="shared" ref="F111:G111" si="7">SUM(F109:F110)</f>
        <v>4</v>
      </c>
      <c r="G111" s="67">
        <f t="shared" si="7"/>
        <v>4</v>
      </c>
      <c r="H111" s="67">
        <f t="shared" ref="H111" si="8">SUM(H109:H110)</f>
        <v>104</v>
      </c>
      <c r="I111" s="7"/>
    </row>
    <row r="112" spans="1:9" x14ac:dyDescent="0.35">
      <c r="A112" s="58"/>
      <c r="C112" s="9" t="s">
        <v>75</v>
      </c>
      <c r="E112" s="67">
        <f>E108*E111</f>
        <v>3.883495145631068</v>
      </c>
      <c r="F112" s="67">
        <f t="shared" ref="F112:G112" si="9">F108*F111</f>
        <v>3.7703836365350174</v>
      </c>
      <c r="G112" s="67">
        <f t="shared" si="9"/>
        <v>3.6605666374126384</v>
      </c>
      <c r="H112" s="67">
        <f t="shared" ref="H112" si="10">H108*H111</f>
        <v>92.402652983231661</v>
      </c>
      <c r="I112" s="7"/>
    </row>
    <row r="113" spans="1:9" x14ac:dyDescent="0.35">
      <c r="C113" s="40" t="s">
        <v>76</v>
      </c>
      <c r="D113" s="87">
        <f>SUM(E112:H112)</f>
        <v>103.71709840281039</v>
      </c>
      <c r="E113" s="67"/>
      <c r="F113" s="7"/>
      <c r="G113" s="7"/>
      <c r="H113" s="7"/>
      <c r="I113" s="7"/>
    </row>
    <row r="114" spans="1:9" x14ac:dyDescent="0.35">
      <c r="A114" s="58"/>
      <c r="C114" s="9"/>
      <c r="E114" s="67"/>
      <c r="F114" s="7"/>
      <c r="G114" s="7"/>
      <c r="H114" s="7"/>
      <c r="I114" s="7"/>
    </row>
    <row r="115" spans="1:9" x14ac:dyDescent="0.35">
      <c r="A115" s="58">
        <v>5</v>
      </c>
      <c r="B115" s="13" t="s">
        <v>20</v>
      </c>
      <c r="C115" s="9"/>
      <c r="E115" s="67"/>
      <c r="F115" s="7"/>
      <c r="G115" s="7"/>
      <c r="H115" s="7"/>
      <c r="I115" s="7"/>
    </row>
    <row r="116" spans="1:9" x14ac:dyDescent="0.35">
      <c r="C116" s="9"/>
      <c r="E116" s="67">
        <f>E111*E107*E108</f>
        <v>3.883495145631068</v>
      </c>
      <c r="F116" s="67">
        <f t="shared" ref="F116:H116" si="11">F111*F107*F108</f>
        <v>7.5407672730700348</v>
      </c>
      <c r="G116" s="67">
        <f t="shared" si="11"/>
        <v>10.981699912237914</v>
      </c>
      <c r="H116" s="67">
        <f t="shared" si="11"/>
        <v>369.61061193292664</v>
      </c>
      <c r="I116" s="7"/>
    </row>
    <row r="117" spans="1:9" x14ac:dyDescent="0.35">
      <c r="A117" s="58"/>
      <c r="C117" s="9" t="s">
        <v>77</v>
      </c>
      <c r="D117" s="10">
        <f>SUM(E116:H116)/D113</f>
        <v>3.7796716288897194</v>
      </c>
      <c r="E117" s="67"/>
      <c r="F117" s="7"/>
      <c r="G117" s="7"/>
      <c r="H117" s="7"/>
      <c r="I117" s="7"/>
    </row>
    <row r="118" spans="1:9" x14ac:dyDescent="0.35">
      <c r="A118" s="58"/>
      <c r="C118" s="40" t="s">
        <v>78</v>
      </c>
      <c r="D118" s="73">
        <f>D117/(1+D105)</f>
        <v>3.6695841057181742</v>
      </c>
      <c r="E118" s="67"/>
      <c r="F118" s="7"/>
      <c r="G118" s="7"/>
      <c r="H118" s="7"/>
      <c r="I118" s="7"/>
    </row>
    <row r="119" spans="1:9" x14ac:dyDescent="0.35">
      <c r="A119" s="58"/>
      <c r="C119" s="9"/>
      <c r="E119" s="67"/>
      <c r="F119" s="7"/>
      <c r="G119" s="7"/>
      <c r="H119" s="7"/>
      <c r="I119" s="7"/>
    </row>
    <row r="120" spans="1:9" x14ac:dyDescent="0.35">
      <c r="A120" s="58">
        <v>5</v>
      </c>
      <c r="B120" s="13" t="s">
        <v>68</v>
      </c>
      <c r="C120" s="9"/>
      <c r="E120" s="67"/>
      <c r="F120" s="7"/>
      <c r="G120" s="7"/>
      <c r="H120" s="7"/>
      <c r="I120" s="7"/>
    </row>
    <row r="121" spans="1:9" ht="16.5" x14ac:dyDescent="0.45">
      <c r="A121" s="58"/>
      <c r="C121" s="40" t="s">
        <v>79</v>
      </c>
      <c r="D121" s="73">
        <f>(D34-E21)/D28</f>
        <v>0.84947252072941581</v>
      </c>
      <c r="E121" s="88" t="s">
        <v>81</v>
      </c>
      <c r="F121" s="32"/>
      <c r="G121" s="32"/>
      <c r="H121" s="7"/>
      <c r="I121" s="7"/>
    </row>
    <row r="122" spans="1:9" ht="16.5" x14ac:dyDescent="0.45">
      <c r="A122" s="58"/>
      <c r="C122" s="40" t="s">
        <v>80</v>
      </c>
      <c r="D122" s="73">
        <f>(D35-E21)/D32</f>
        <v>0.65256433345505904</v>
      </c>
      <c r="E122" s="67"/>
      <c r="F122" s="7"/>
      <c r="G122" s="7"/>
      <c r="H122" s="7"/>
      <c r="I122" s="7"/>
    </row>
    <row r="123" spans="1:9" x14ac:dyDescent="0.35">
      <c r="A123" s="58"/>
      <c r="C123" s="9"/>
      <c r="E123" s="67"/>
      <c r="F123" s="7"/>
      <c r="G123" s="7"/>
      <c r="H123" s="7"/>
      <c r="I123" s="7"/>
    </row>
    <row r="124" spans="1:9" x14ac:dyDescent="0.35">
      <c r="A124" s="58"/>
      <c r="C124" s="18"/>
      <c r="D124" s="18"/>
      <c r="E124" s="18"/>
      <c r="F124" s="14"/>
      <c r="G124" s="14"/>
    </row>
    <row r="125" spans="1:9" x14ac:dyDescent="0.35">
      <c r="A125" s="58"/>
      <c r="C125" s="18"/>
      <c r="D125" s="18"/>
      <c r="E125" s="18"/>
      <c r="F125" s="14"/>
      <c r="G125" s="14"/>
    </row>
    <row r="126" spans="1:9" x14ac:dyDescent="0.35">
      <c r="A126" s="58"/>
      <c r="C126" s="18"/>
      <c r="D126" s="18"/>
      <c r="E126" s="18"/>
      <c r="F126" s="14"/>
      <c r="G126" s="14"/>
    </row>
    <row r="127" spans="1:9" x14ac:dyDescent="0.35">
      <c r="A127" s="58"/>
      <c r="C127" s="18"/>
      <c r="D127" s="18"/>
      <c r="E127" s="18"/>
      <c r="F127" s="14"/>
      <c r="G127" s="14"/>
    </row>
    <row r="128" spans="1:9" x14ac:dyDescent="0.35">
      <c r="A128" s="58"/>
      <c r="C128" s="18"/>
      <c r="D128" s="18"/>
      <c r="E128" s="18"/>
      <c r="F128" s="14"/>
      <c r="G128" s="14"/>
    </row>
    <row r="129" spans="1:1" x14ac:dyDescent="0.35">
      <c r="A129" s="58"/>
    </row>
    <row r="130" spans="1:1" x14ac:dyDescent="0.35">
      <c r="A130" s="58"/>
    </row>
    <row r="131" spans="1:1" x14ac:dyDescent="0.35">
      <c r="A131" s="58"/>
    </row>
    <row r="132" spans="1:1" x14ac:dyDescent="0.35">
      <c r="A132" s="58"/>
    </row>
    <row r="133" spans="1:1" x14ac:dyDescent="0.35">
      <c r="A133" s="58"/>
    </row>
    <row r="134" spans="1:1" x14ac:dyDescent="0.35">
      <c r="A134" s="58"/>
    </row>
    <row r="135" spans="1:1" x14ac:dyDescent="0.35">
      <c r="A135" s="58"/>
    </row>
    <row r="136" spans="1:1" x14ac:dyDescent="0.35">
      <c r="A136" s="58"/>
    </row>
    <row r="137" spans="1:1" x14ac:dyDescent="0.35">
      <c r="A137" s="58"/>
    </row>
    <row r="138" spans="1:1" x14ac:dyDescent="0.35">
      <c r="A138" s="58"/>
    </row>
    <row r="139" spans="1:1" x14ac:dyDescent="0.35">
      <c r="A139" s="58"/>
    </row>
    <row r="140" spans="1:1" x14ac:dyDescent="0.35">
      <c r="A140" s="58"/>
    </row>
    <row r="141" spans="1:1" x14ac:dyDescent="0.35">
      <c r="A141" s="58"/>
    </row>
    <row r="142" spans="1:1" x14ac:dyDescent="0.35">
      <c r="A142" s="58"/>
    </row>
    <row r="143" spans="1:1" x14ac:dyDescent="0.35">
      <c r="A143" s="58"/>
    </row>
    <row r="144" spans="1:1" x14ac:dyDescent="0.35">
      <c r="A144" s="58"/>
    </row>
    <row r="145" spans="1:1" x14ac:dyDescent="0.35">
      <c r="A145" s="58"/>
    </row>
    <row r="146" spans="1:1" x14ac:dyDescent="0.35">
      <c r="A146" s="58"/>
    </row>
    <row r="147" spans="1:1" x14ac:dyDescent="0.35">
      <c r="A147" s="58"/>
    </row>
    <row r="148" spans="1:1" x14ac:dyDescent="0.35">
      <c r="A148" s="58"/>
    </row>
    <row r="149" spans="1:1" x14ac:dyDescent="0.35">
      <c r="A149" s="58"/>
    </row>
    <row r="150" spans="1:1" x14ac:dyDescent="0.35">
      <c r="A150" s="58"/>
    </row>
    <row r="151" spans="1:1" x14ac:dyDescent="0.35">
      <c r="A151" s="58"/>
    </row>
    <row r="152" spans="1:1" x14ac:dyDescent="0.35">
      <c r="A152" s="58"/>
    </row>
    <row r="153" spans="1:1" x14ac:dyDescent="0.35">
      <c r="A153" s="58"/>
    </row>
    <row r="154" spans="1:1" x14ac:dyDescent="0.35">
      <c r="A154" s="58"/>
    </row>
    <row r="155" spans="1:1" x14ac:dyDescent="0.35">
      <c r="A155" s="58"/>
    </row>
    <row r="156" spans="1:1" x14ac:dyDescent="0.35">
      <c r="A156" s="58"/>
    </row>
    <row r="157" spans="1:1" x14ac:dyDescent="0.35">
      <c r="A157" s="58"/>
    </row>
    <row r="158" spans="1:1" x14ac:dyDescent="0.35">
      <c r="A158" s="58"/>
    </row>
    <row r="159" spans="1:1" x14ac:dyDescent="0.35">
      <c r="A159" s="58"/>
    </row>
    <row r="160" spans="1:1" x14ac:dyDescent="0.35">
      <c r="A160" s="58"/>
    </row>
    <row r="161" spans="1:1" x14ac:dyDescent="0.35">
      <c r="A161" s="58"/>
    </row>
    <row r="162" spans="1:1" x14ac:dyDescent="0.35">
      <c r="A162" s="58"/>
    </row>
    <row r="163" spans="1:1" x14ac:dyDescent="0.35">
      <c r="A163" s="58"/>
    </row>
    <row r="164" spans="1:1" x14ac:dyDescent="0.35">
      <c r="A164" s="58"/>
    </row>
    <row r="165" spans="1:1" x14ac:dyDescent="0.35">
      <c r="A165" s="58"/>
    </row>
    <row r="166" spans="1:1" x14ac:dyDescent="0.35">
      <c r="A166" s="58"/>
    </row>
    <row r="167" spans="1:1" x14ac:dyDescent="0.35">
      <c r="A167" s="58"/>
    </row>
    <row r="168" spans="1:1" x14ac:dyDescent="0.35">
      <c r="A168" s="58"/>
    </row>
    <row r="169" spans="1:1" x14ac:dyDescent="0.35">
      <c r="A169" s="58"/>
    </row>
    <row r="170" spans="1:1" x14ac:dyDescent="0.35">
      <c r="A170" s="58"/>
    </row>
    <row r="171" spans="1:1" x14ac:dyDescent="0.35">
      <c r="A171" s="58"/>
    </row>
    <row r="172" spans="1:1" x14ac:dyDescent="0.35">
      <c r="A172" s="58"/>
    </row>
    <row r="173" spans="1:1" x14ac:dyDescent="0.35">
      <c r="A173" s="58"/>
    </row>
    <row r="174" spans="1:1" x14ac:dyDescent="0.35">
      <c r="A174" s="58"/>
    </row>
    <row r="175" spans="1:1" x14ac:dyDescent="0.35">
      <c r="A175" s="58"/>
    </row>
    <row r="176" spans="1:1" x14ac:dyDescent="0.35">
      <c r="A176" s="58"/>
    </row>
    <row r="177" spans="1:1" x14ac:dyDescent="0.35">
      <c r="A177" s="58"/>
    </row>
    <row r="178" spans="1:1" x14ac:dyDescent="0.35">
      <c r="A178" s="58"/>
    </row>
    <row r="179" spans="1:1" x14ac:dyDescent="0.35">
      <c r="A179" s="58"/>
    </row>
    <row r="180" spans="1:1" x14ac:dyDescent="0.35">
      <c r="A180" s="58"/>
    </row>
    <row r="181" spans="1:1" x14ac:dyDescent="0.35">
      <c r="A181" s="58"/>
    </row>
    <row r="182" spans="1:1" x14ac:dyDescent="0.35">
      <c r="A182" s="58"/>
    </row>
    <row r="183" spans="1:1" x14ac:dyDescent="0.35">
      <c r="A183" s="58"/>
    </row>
    <row r="184" spans="1:1" x14ac:dyDescent="0.35">
      <c r="A184" s="58"/>
    </row>
    <row r="185" spans="1:1" x14ac:dyDescent="0.35">
      <c r="A185" s="58"/>
    </row>
    <row r="186" spans="1:1" x14ac:dyDescent="0.35">
      <c r="A186" s="58"/>
    </row>
    <row r="187" spans="1:1" x14ac:dyDescent="0.35">
      <c r="A187" s="58"/>
    </row>
    <row r="188" spans="1:1" x14ac:dyDescent="0.35">
      <c r="A188" s="58"/>
    </row>
    <row r="189" spans="1:1" x14ac:dyDescent="0.35">
      <c r="A189" s="58"/>
    </row>
    <row r="190" spans="1:1" x14ac:dyDescent="0.35">
      <c r="A190" s="58"/>
    </row>
    <row r="191" spans="1:1" x14ac:dyDescent="0.35">
      <c r="A191" s="58"/>
    </row>
    <row r="192" spans="1:1" x14ac:dyDescent="0.35">
      <c r="A192" s="58"/>
    </row>
    <row r="193" spans="1:1" x14ac:dyDescent="0.35">
      <c r="A193" s="58"/>
    </row>
    <row r="194" spans="1:1" x14ac:dyDescent="0.35">
      <c r="A194" s="58"/>
    </row>
    <row r="195" spans="1:1" x14ac:dyDescent="0.35">
      <c r="A195" s="58"/>
    </row>
    <row r="196" spans="1:1" x14ac:dyDescent="0.35">
      <c r="A196" s="58"/>
    </row>
    <row r="197" spans="1:1" x14ac:dyDescent="0.35">
      <c r="A197" s="58"/>
    </row>
    <row r="198" spans="1:1" x14ac:dyDescent="0.35">
      <c r="A198" s="58"/>
    </row>
    <row r="199" spans="1:1" x14ac:dyDescent="0.35">
      <c r="A199" s="58"/>
    </row>
    <row r="200" spans="1:1" x14ac:dyDescent="0.35">
      <c r="A200" s="58"/>
    </row>
    <row r="201" spans="1:1" x14ac:dyDescent="0.35">
      <c r="A201" s="58"/>
    </row>
  </sheetData>
  <mergeCells count="6">
    <mergeCell ref="D25:E25"/>
    <mergeCell ref="F25:G25"/>
    <mergeCell ref="H25:I25"/>
    <mergeCell ref="F38:G38"/>
    <mergeCell ref="F47:G47"/>
    <mergeCell ref="I47:J4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jduque</dc:creator>
  <cp:lastModifiedBy>JORGE HUMBERTO DA CRUZ BARROS DE JESUS LUIS</cp:lastModifiedBy>
  <dcterms:created xsi:type="dcterms:W3CDTF">2019-11-24T19:35:30Z</dcterms:created>
  <dcterms:modified xsi:type="dcterms:W3CDTF">2025-10-03T12:53:16Z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756dabd-1ab2-455c-ac5f-fbfcf45fdb51_Enabled">
    <vt:lpwstr>true</vt:lpwstr>
  </property>
  <property fmtid="{D5CDD505-2E9C-101B-9397-08002B2CF9AE}" pid="3" name="MSIP_Label_2756dabd-1ab2-455c-ac5f-fbfcf45fdb51_SetDate">
    <vt:lpwstr>2024-04-09T23:08:46Z</vt:lpwstr>
  </property>
  <property fmtid="{D5CDD505-2E9C-101B-9397-08002B2CF9AE}" pid="4" name="MSIP_Label_2756dabd-1ab2-455c-ac5f-fbfcf45fdb51_Method">
    <vt:lpwstr>Privileged</vt:lpwstr>
  </property>
  <property fmtid="{D5CDD505-2E9C-101B-9397-08002B2CF9AE}" pid="5" name="MSIP_Label_2756dabd-1ab2-455c-ac5f-fbfcf45fdb51_Name">
    <vt:lpwstr>2756dabd-1ab2-455c-ac5f-fbfcf45fdb51</vt:lpwstr>
  </property>
  <property fmtid="{D5CDD505-2E9C-101B-9397-08002B2CF9AE}" pid="6" name="MSIP_Label_2756dabd-1ab2-455c-ac5f-fbfcf45fdb51_SiteId">
    <vt:lpwstr>0f172980-1261-4323-ab7a-c89b472843d7</vt:lpwstr>
  </property>
  <property fmtid="{D5CDD505-2E9C-101B-9397-08002B2CF9AE}" pid="7" name="MSIP_Label_2756dabd-1ab2-455c-ac5f-fbfcf45fdb51_ActionId">
    <vt:lpwstr>32d71d7b-ecb1-480a-b657-f49637b4139e</vt:lpwstr>
  </property>
  <property fmtid="{D5CDD505-2E9C-101B-9397-08002B2CF9AE}" pid="8" name="MSIP_Label_2756dabd-1ab2-455c-ac5f-fbfcf45fdb51_ContentBits">
    <vt:lpwstr>0</vt:lpwstr>
  </property>
</Properties>
</file>