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ocs\Textos\Próprios\ISEG\BRM\2025-2026\"/>
    </mc:Choice>
  </mc:AlternateContent>
  <xr:revisionPtr revIDLastSave="0" documentId="13_ncr:1_{4EA2E4D6-DBF2-41C9-91E8-3F34E17BAF34}" xr6:coauthVersionLast="47" xr6:coauthVersionMax="47" xr10:uidLastSave="{00000000-0000-0000-0000-000000000000}"/>
  <bookViews>
    <workbookView xWindow="-110" yWindow="-110" windowWidth="24220" windowHeight="15500" xr2:uid="{00000000-000D-0000-FFFF-FFFF00000000}"/>
  </bookViews>
  <sheets>
    <sheet name="Grades" sheetId="1" r:id="rId1"/>
    <sheet name="I" sheetId="3" r:id="rId2"/>
    <sheet name="II" sheetId="2" r:id="rId3"/>
    <sheet name="III.1." sheetId="5" r:id="rId4"/>
    <sheet name="III.2.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5" l="1"/>
  <c r="C16" i="2"/>
  <c r="C21" i="2" s="1"/>
  <c r="B12" i="2"/>
  <c r="F17" i="2"/>
  <c r="F16" i="2"/>
  <c r="B11" i="2"/>
  <c r="B20" i="2"/>
  <c r="Q43" i="1"/>
  <c r="R43" i="1" s="1"/>
  <c r="Q42" i="1"/>
  <c r="R42" i="1" s="1"/>
  <c r="Q41" i="1"/>
  <c r="R41" i="1" s="1"/>
  <c r="Q40" i="1"/>
  <c r="R40" i="1" s="1"/>
  <c r="Q39" i="1"/>
  <c r="R39" i="1" s="1"/>
  <c r="Q38" i="1"/>
  <c r="R38" i="1" s="1"/>
  <c r="Q37" i="1"/>
  <c r="R37" i="1" s="1"/>
  <c r="Q36" i="1"/>
  <c r="R36" i="1" s="1"/>
  <c r="Q35" i="1"/>
  <c r="R35" i="1" s="1"/>
  <c r="Q34" i="1"/>
  <c r="R34" i="1" s="1"/>
  <c r="Q33" i="1"/>
  <c r="R33" i="1" s="1"/>
  <c r="Q32" i="1"/>
  <c r="R32" i="1" s="1"/>
  <c r="Q31" i="1"/>
  <c r="R31" i="1" s="1"/>
  <c r="Q30" i="1"/>
  <c r="R30" i="1" s="1"/>
  <c r="Q29" i="1"/>
  <c r="R29" i="1" s="1"/>
  <c r="Q28" i="1"/>
  <c r="R28" i="1" s="1"/>
  <c r="Q27" i="1"/>
  <c r="R27" i="1" s="1"/>
  <c r="Q26" i="1"/>
  <c r="R26" i="1" s="1"/>
  <c r="Q25" i="1"/>
  <c r="R25" i="1" s="1"/>
  <c r="Q24" i="1"/>
  <c r="R24" i="1" s="1"/>
  <c r="Q22" i="1"/>
  <c r="R22" i="1" s="1"/>
  <c r="Q21" i="1"/>
  <c r="R21" i="1" s="1"/>
  <c r="Q20" i="1"/>
  <c r="R20" i="1" s="1"/>
  <c r="Q19" i="1"/>
  <c r="R19" i="1" s="1"/>
  <c r="Q18" i="1"/>
  <c r="R18" i="1" s="1"/>
  <c r="Q17" i="1"/>
  <c r="R17" i="1" s="1"/>
  <c r="Q16" i="1"/>
  <c r="R16" i="1" s="1"/>
  <c r="Q15" i="1"/>
  <c r="R15" i="1" s="1"/>
  <c r="Q13" i="1"/>
  <c r="R13" i="1" s="1"/>
  <c r="Q12" i="1"/>
  <c r="R12" i="1" s="1"/>
  <c r="Q11" i="1"/>
  <c r="R11" i="1" s="1"/>
  <c r="Q10" i="1"/>
  <c r="R10" i="1" s="1"/>
  <c r="Q9" i="1"/>
  <c r="R9" i="1" s="1"/>
  <c r="Q8" i="1"/>
  <c r="R8" i="1" s="1"/>
  <c r="Q7" i="1"/>
  <c r="R7" i="1" s="1"/>
  <c r="Q6" i="1"/>
  <c r="R6" i="1" s="1"/>
  <c r="Q5" i="1"/>
  <c r="R5" i="1" s="1"/>
  <c r="Q4" i="1"/>
  <c r="R4" i="1" s="1"/>
  <c r="Q3" i="1"/>
  <c r="B13" i="5"/>
  <c r="C11" i="5"/>
  <c r="G4" i="4"/>
  <c r="C4" i="4"/>
  <c r="B4" i="4"/>
  <c r="G3" i="4"/>
  <c r="C3" i="4"/>
  <c r="B3" i="4"/>
  <c r="C12" i="2"/>
  <c r="C20" i="2"/>
  <c r="B13" i="2" l="1"/>
  <c r="E17" i="2" s="1"/>
  <c r="E16" i="2"/>
  <c r="D4" i="4"/>
  <c r="E4" i="4"/>
  <c r="D3" i="4"/>
  <c r="D5" i="4" s="1"/>
  <c r="E3" i="4"/>
  <c r="C13" i="2"/>
  <c r="C15" i="2" s="1"/>
  <c r="C14" i="2"/>
  <c r="B16" i="2" l="1"/>
  <c r="B21" i="2" s="1"/>
  <c r="F4" i="4"/>
  <c r="H4" i="4" s="1"/>
  <c r="F3" i="4"/>
  <c r="H3" i="4" s="1"/>
  <c r="H5" i="4" l="1"/>
  <c r="K5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tc={6E6555C8-E883-45AC-9B3D-1C7C283B1BF7}</author>
    <author>tc={D2FC27C8-0ABA-4800-B4E6-7E93BB6D5B18}</author>
    <author>tc={4F743218-B034-4EB7-A15D-94DE338F2D7A}</author>
  </authors>
  <commentList>
    <comment ref="D1" authorId="0" shapeId="0" xr:uid="{6E6555C8-E883-45AC-9B3D-1C7C283B1BF7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end-of-year discount factor is used given that at the beginning of each year it is unknown whether a default will happen (if that is the case, the default is assumed to happen at mid-year).</t>
      </text>
    </comment>
    <comment ref="F1" authorId="1" shapeId="0" xr:uid="{D2FC27C8-0ABA-4800-B4E6-7E93BB6D5B18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1y PD is used given that at the beginning of each year the time of a potential default is unknown (even though we're assuming that if defaults happen, that will occur in the mid-year),</t>
      </text>
    </comment>
    <comment ref="H1" authorId="2" shapeId="0" xr:uid="{4F743218-B034-4EB7-A15D-94DE338F2D7A}">
      <text>
        <t>[Threaded comment]
Your version of Excel allows you to read this threaded comment; however, any edits to it will get removed if the file is opened in a newer version of Excel. Learn more: https://go.microsoft.com/fwlink/?linkid=870924
Comment:
    It uses the mid-year discount factot, given that the defaults are assumed to happen at mid-year.</t>
      </text>
    </comment>
  </commentList>
</comments>
</file>

<file path=xl/sharedStrings.xml><?xml version="1.0" encoding="utf-8"?>
<sst xmlns="http://schemas.openxmlformats.org/spreadsheetml/2006/main" count="108" uniqueCount="97">
  <si>
    <t>ALESSANDRO LUCÀ</t>
  </si>
  <si>
    <t>ARIANA ROCHATE RODRIGUES</t>
  </si>
  <si>
    <t>ARLIN KOKICI</t>
  </si>
  <si>
    <t>DENNIS KRIEGER</t>
  </si>
  <si>
    <t>DIANA OLENYCH</t>
  </si>
  <si>
    <t>DIOGO DA SILVA BRAGUEZ</t>
  </si>
  <si>
    <t>DIOGO FILIPE CABETE MORGADO</t>
  </si>
  <si>
    <t>EDGAR BRISSIAUD</t>
  </si>
  <si>
    <t>ELENA MARIA D'ANTONIO</t>
  </si>
  <si>
    <t>ELIŠKA MESTEKOVÁ</t>
  </si>
  <si>
    <t>FABIANA CAMPOS MALTA</t>
  </si>
  <si>
    <t>FABIO GRECO</t>
  </si>
  <si>
    <t>FEDERICO QUARATO</t>
  </si>
  <si>
    <t>FILIP MARTINOVIC</t>
  </si>
  <si>
    <t>FREDERIC ROHNER</t>
  </si>
  <si>
    <t>GIORGIA BRUGALI</t>
  </si>
  <si>
    <t>GUILHERME LEONARDI DE SOARES CAPITÃO E BRASILE</t>
  </si>
  <si>
    <t>INÊS MARGARIDA DOS SANTOS MENDES</t>
  </si>
  <si>
    <t>ISADORA LORZA DUARTE</t>
  </si>
  <si>
    <t>JAY KETAN THAKRAR</t>
  </si>
  <si>
    <t>JOÃO MIGUEL BERNARDO MARTINS</t>
  </si>
  <si>
    <t>KENZIE EWEN EECKHOUT</t>
  </si>
  <si>
    <t>LARA FILIPA DA ROSA ESCOVAL</t>
  </si>
  <si>
    <t>LAURETTE FLORIAT</t>
  </si>
  <si>
    <t>MALTE SEBASTIAN WEYDERT</t>
  </si>
  <si>
    <t>MARIA FRANCISCA DO CARMO TAVARES MARINHEIRO</t>
  </si>
  <si>
    <t>MARIANA FILIPA JORDÃO ROSÁRIO</t>
  </si>
  <si>
    <t>MIGUEL MOLINA CEREZO</t>
  </si>
  <si>
    <t>MORITZ ARNDT</t>
  </si>
  <si>
    <t>NICOLA ARNOLDI</t>
  </si>
  <si>
    <t>NILS DECHER</t>
  </si>
  <si>
    <t>PAULINA MARIE HELGERTH</t>
  </si>
  <si>
    <t>PEDRO FIÚZA GOUVÊA</t>
  </si>
  <si>
    <t>RENKE JOHANNES HELJEN</t>
  </si>
  <si>
    <t>RODRIGO MIGUEL FERREIRA REIS DE ABRANTES RODRIGUES</t>
  </si>
  <si>
    <t>SEBASTIAN GABRIEL GEORG STUMPF</t>
  </si>
  <si>
    <t>SIDÓNIO MARIA CAVALLERI SERPA</t>
  </si>
  <si>
    <t>SOFIE GEIPEL</t>
  </si>
  <si>
    <t>SOPHIE ELISABETH TSCHERNE</t>
  </si>
  <si>
    <t>TILL ANTON PRASSE</t>
  </si>
  <si>
    <t>No.</t>
  </si>
  <si>
    <t>Name</t>
  </si>
  <si>
    <t>Expand</t>
  </si>
  <si>
    <t>S</t>
  </si>
  <si>
    <t>Put =</t>
  </si>
  <si>
    <t>K</t>
  </si>
  <si>
    <t>t (years)</t>
  </si>
  <si>
    <t>r</t>
  </si>
  <si>
    <t>s</t>
  </si>
  <si>
    <t>y</t>
  </si>
  <si>
    <t>d1</t>
  </si>
  <si>
    <t>d2</t>
  </si>
  <si>
    <t>C(K)</t>
  </si>
  <si>
    <t>NPV</t>
  </si>
  <si>
    <t>N(d1)</t>
  </si>
  <si>
    <t>N(d2)</t>
  </si>
  <si>
    <t>1.</t>
  </si>
  <si>
    <t>2.</t>
  </si>
  <si>
    <t>Even though the NPV &lt;0, the company should develop the product immediately,</t>
  </si>
  <si>
    <t>as the call-option has a positive value.</t>
  </si>
  <si>
    <t>c</t>
  </si>
  <si>
    <t>b</t>
  </si>
  <si>
    <t>d</t>
  </si>
  <si>
    <t>a</t>
  </si>
  <si>
    <t>Cumulative</t>
  </si>
  <si>
    <t>Discount Factor</t>
  </si>
  <si>
    <t>PV of expected</t>
  </si>
  <si>
    <t>Unconditional</t>
  </si>
  <si>
    <t>Expected</t>
  </si>
  <si>
    <t>l =</t>
  </si>
  <si>
    <t>Probability of Survival</t>
  </si>
  <si>
    <t>(end-of-year)</t>
  </si>
  <si>
    <t>payment (x CDS fee)</t>
  </si>
  <si>
    <t>Probability of Default</t>
  </si>
  <si>
    <t>Payoff = (1-RR)*PD</t>
  </si>
  <si>
    <t>pay-off</t>
  </si>
  <si>
    <t>r =</t>
  </si>
  <si>
    <t xml:space="preserve">RR = </t>
  </si>
  <si>
    <t>Accrual time</t>
  </si>
  <si>
    <t>Premium</t>
  </si>
  <si>
    <t>d(s|t) = 1- p(s|t) = 1-P(s)/P(t) = [P(t)-P(s)]/P(t) = -[P(s)-P(t)]/P(t) = -P’(t)/P(t) or = d’(s|t)/P(t)</t>
  </si>
  <si>
    <r>
      <t xml:space="preserve">Conditional marginal probability of survival to time </t>
    </r>
    <r>
      <rPr>
        <i/>
        <sz val="18"/>
        <color rgb="FF000000"/>
        <rFont val="Times New Roman"/>
        <family val="1"/>
      </rPr>
      <t>s</t>
    </r>
    <r>
      <rPr>
        <sz val="18"/>
        <color rgb="FF000000"/>
        <rFont val="Times New Roman"/>
        <family val="1"/>
      </rPr>
      <t xml:space="preserve">,  given survival to time </t>
    </r>
    <r>
      <rPr>
        <i/>
        <sz val="18"/>
        <color rgb="FF000000"/>
        <rFont val="Times New Roman"/>
        <family val="1"/>
      </rPr>
      <t>t:</t>
    </r>
  </si>
  <si>
    <t xml:space="preserve">Conditional marginal probability of default at time s, given survival to time t (or forward default probability): </t>
  </si>
  <si>
    <t>d(3|2) = 1- p(3|2) = 1-P(3)/P(2) = [P(2)-P(3)]/P(2) = -[P(3)-P(2)]/P(2)</t>
  </si>
  <si>
    <t>P(3) = 1-0,0026 =</t>
  </si>
  <si>
    <t>P(2) = 1-0,0016 =</t>
  </si>
  <si>
    <t>d(3|2) =</t>
  </si>
  <si>
    <t>I</t>
  </si>
  <si>
    <t>II</t>
  </si>
  <si>
    <t>III</t>
  </si>
  <si>
    <t>Total</t>
  </si>
  <si>
    <t>Rounded</t>
  </si>
  <si>
    <t>F</t>
  </si>
  <si>
    <t>Delay</t>
  </si>
  <si>
    <t>Time Premium</t>
  </si>
  <si>
    <t>This is an expand option. It could also be interpreted as a delay option, though in this case and with the figures for N(d1) and N(2) given, the option value would be negative (with y=1/t), which doesn't make sense.</t>
  </si>
  <si>
    <t>As the time-premium is &gt;0, the project should be delayed (even though the option price is meaningless, by being &lt;0 with the N(d1) and N(d2) given)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</si>
</sst>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%"/>
    <numFmt numFmtId="165" formatCode="0.0000"/>
    <numFmt numFmtId="166" formatCode="0.0"/>
    <numFmt numFmtId="167" formatCode="0.000"/>
    <numFmt numFmtId="168" formatCode="0.00000"/>
    <numFmt numFmtId="170" formatCode="0.0000%"/>
    <numFmt numFmtId="171" formatCode="0.00000%"/>
    <numFmt numFmtId="172" formatCode="0.000000"/>
  </numFmts>
  <fonts count="9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  <family val="2"/>
    </font>
    <font>
      <sz val="11"/>
      <color indexed="8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1"/>
      <name val="Symbol"/>
      <family val="1"/>
      <charset val="2"/>
    </font>
    <font>
      <sz val="11"/>
      <color indexed="8"/>
      <name val="Aptos"/>
      <family val="2"/>
    </font>
    <font>
      <sz val="18"/>
      <color rgb="FF000000"/>
      <name val="Times New Roman"/>
      <family val="1"/>
    </font>
    <font>
      <i/>
      <sz val="18"/>
      <color rgb="FF000000"/>
      <name val="Times New Roman"/>
      <family val="1"/>
    </font>
    <font>
      <b/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18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0">
    <xf numFmtId="0" fontId="0" fillId="0" borderId="0" xfId="0"/>
    <xf numFmtId="0" fontId="1" fillId="2" borderId="0" xfId="0" applyFont="1" applyFill="1"/>
    <xf numFmtId="0" fontId="0" fillId="0" borderId="0" xfId="0" applyAlignment="1">
      <alignment horizontal="center"/>
    </xf>
    <xf numFmtId="164" fontId="0" fillId="0" borderId="0" xfId="1" applyNumberFormat="1" applyFont="1"/>
    <xf numFmtId="0" fontId="4" fillId="0" borderId="0" xfId="0" applyFont="1"/>
    <xf numFmtId="1" fontId="0" fillId="0" borderId="0" xfId="0" applyNumberFormat="1"/>
    <xf numFmtId="0" fontId="4" fillId="3" borderId="0" xfId="0" applyFont="1" applyFill="1"/>
    <xf numFmtId="9" fontId="0" fillId="3" borderId="0" xfId="1" applyFont="1" applyFill="1"/>
    <xf numFmtId="0" fontId="0" fillId="3" borderId="0" xfId="0" applyFill="1"/>
    <xf numFmtId="165" fontId="0" fillId="0" borderId="0" xfId="0" applyNumberFormat="1"/>
    <xf numFmtId="166" fontId="0" fillId="3" borderId="0" xfId="0" applyNumberFormat="1" applyFill="1"/>
    <xf numFmtId="0" fontId="3" fillId="4" borderId="0" xfId="0" applyFont="1" applyFill="1"/>
    <xf numFmtId="0" fontId="0" fillId="0" borderId="0" xfId="0" quotePrefix="1" applyAlignment="1">
      <alignment wrapText="1"/>
    </xf>
    <xf numFmtId="165" fontId="0" fillId="4" borderId="0" xfId="0" applyNumberFormat="1" applyFill="1"/>
    <xf numFmtId="10" fontId="0" fillId="3" borderId="0" xfId="1" applyNumberFormat="1" applyFont="1" applyFill="1"/>
    <xf numFmtId="0" fontId="5" fillId="0" borderId="0" xfId="0" applyFont="1"/>
    <xf numFmtId="0" fontId="6" fillId="0" borderId="0" xfId="0" applyFont="1"/>
    <xf numFmtId="0" fontId="0" fillId="0" borderId="0" xfId="0" quotePrefix="1"/>
    <xf numFmtId="0" fontId="0" fillId="4" borderId="0" xfId="0" applyFill="1"/>
    <xf numFmtId="1" fontId="0" fillId="4" borderId="0" xfId="0" applyNumberFormat="1" applyFill="1"/>
    <xf numFmtId="166" fontId="0" fillId="0" borderId="0" xfId="0" applyNumberFormat="1"/>
    <xf numFmtId="2" fontId="0" fillId="0" borderId="0" xfId="0" applyNumberFormat="1"/>
    <xf numFmtId="168" fontId="0" fillId="4" borderId="0" xfId="0" applyNumberFormat="1" applyFill="1"/>
    <xf numFmtId="167" fontId="0" fillId="0" borderId="0" xfId="0" applyNumberFormat="1"/>
    <xf numFmtId="0" fontId="8" fillId="0" borderId="0" xfId="0" applyFont="1"/>
    <xf numFmtId="0" fontId="0" fillId="0" borderId="0" xfId="0" applyAlignment="1">
      <alignment horizontal="center"/>
    </xf>
    <xf numFmtId="170" fontId="3" fillId="4" borderId="0" xfId="1" applyNumberFormat="1" applyFont="1" applyFill="1"/>
    <xf numFmtId="168" fontId="0" fillId="0" borderId="0" xfId="0" applyNumberFormat="1"/>
    <xf numFmtId="171" fontId="0" fillId="4" borderId="0" xfId="1" applyNumberFormat="1" applyFont="1" applyFill="1"/>
    <xf numFmtId="172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368300</xdr:colOff>
      <xdr:row>4</xdr:row>
      <xdr:rowOff>165100</xdr:rowOff>
    </xdr:from>
    <xdr:to>
      <xdr:col>7</xdr:col>
      <xdr:colOff>481509</xdr:colOff>
      <xdr:row>6</xdr:row>
      <xdr:rowOff>141414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D14115-2F57-4BD4-9FFF-102E9B7DBB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51100" y="349250"/>
          <a:ext cx="2551609" cy="344614"/>
        </a:xfrm>
        <a:prstGeom prst="rect">
          <a:avLst/>
        </a:prstGeom>
      </xdr:spPr>
    </xdr:pic>
    <xdr:clientData/>
  </xdr:twoCellAnchor>
  <xdr:twoCellAnchor editAs="oneCell">
    <xdr:from>
      <xdr:col>4</xdr:col>
      <xdr:colOff>69850</xdr:colOff>
      <xdr:row>6</xdr:row>
      <xdr:rowOff>139700</xdr:rowOff>
    </xdr:from>
    <xdr:to>
      <xdr:col>7</xdr:col>
      <xdr:colOff>12700</xdr:colOff>
      <xdr:row>12</xdr:row>
      <xdr:rowOff>139700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C05F5E5-4C37-404C-8813-C9E288475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692150"/>
          <a:ext cx="1771650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13</xdr:col>
      <xdr:colOff>147493</xdr:colOff>
      <xdr:row>6</xdr:row>
      <xdr:rowOff>103882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CA31E3F-124D-48F1-9327-82B871D13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398000" y="368300"/>
          <a:ext cx="2585893" cy="288032"/>
        </a:xfrm>
        <a:prstGeom prst="rect">
          <a:avLst/>
        </a:prstGeom>
      </xdr:spPr>
    </xdr:pic>
    <xdr:clientData/>
  </xdr:twoCellAnchor>
  <xdr:twoCellAnchor editAs="oneCell">
    <xdr:from>
      <xdr:col>7</xdr:col>
      <xdr:colOff>558800</xdr:colOff>
      <xdr:row>6</xdr:row>
      <xdr:rowOff>152400</xdr:rowOff>
    </xdr:from>
    <xdr:to>
      <xdr:col>11</xdr:col>
      <xdr:colOff>345686</xdr:colOff>
      <xdr:row>9</xdr:row>
      <xdr:rowOff>117142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83DC8EE-6B93-4545-AEEA-75DAFE15F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737600" y="704850"/>
          <a:ext cx="2225286" cy="517192"/>
        </a:xfrm>
        <a:prstGeom prst="rect">
          <a:avLst/>
        </a:prstGeom>
      </xdr:spPr>
    </xdr:pic>
    <xdr:clientData/>
  </xdr:twoCellAnchor>
  <xdr:twoCellAnchor>
    <xdr:from>
      <xdr:col>3</xdr:col>
      <xdr:colOff>120650</xdr:colOff>
      <xdr:row>19</xdr:row>
      <xdr:rowOff>114300</xdr:rowOff>
    </xdr:from>
    <xdr:to>
      <xdr:col>3</xdr:col>
      <xdr:colOff>565150</xdr:colOff>
      <xdr:row>19</xdr:row>
      <xdr:rowOff>139700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46A86D8A-F57D-66AC-CFBA-83E72D09FBFE}"/>
            </a:ext>
          </a:extLst>
        </xdr:cNvPr>
        <xdr:cNvCxnSpPr/>
      </xdr:nvCxnSpPr>
      <xdr:spPr>
        <a:xfrm>
          <a:off x="2203450" y="2876550"/>
          <a:ext cx="444500" cy="254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349250</xdr:colOff>
      <xdr:row>21</xdr:row>
      <xdr:rowOff>25400</xdr:rowOff>
    </xdr:from>
    <xdr:to>
      <xdr:col>1</xdr:col>
      <xdr:colOff>368300</xdr:colOff>
      <xdr:row>23</xdr:row>
      <xdr:rowOff>25400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1D55F8BB-9594-40D0-B274-747D7CDEDE33}"/>
            </a:ext>
          </a:extLst>
        </xdr:cNvPr>
        <xdr:cNvCxnSpPr/>
      </xdr:nvCxnSpPr>
      <xdr:spPr>
        <a:xfrm>
          <a:off x="1212850" y="3155950"/>
          <a:ext cx="19050" cy="3683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330200</xdr:colOff>
      <xdr:row>8</xdr:row>
      <xdr:rowOff>6350</xdr:rowOff>
    </xdr:from>
    <xdr:to>
      <xdr:col>20</xdr:col>
      <xdr:colOff>191372</xdr:colOff>
      <xdr:row>17</xdr:row>
      <xdr:rowOff>44450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388B34-C36F-C2F9-A28E-72859989C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7400" y="1587500"/>
          <a:ext cx="7785972" cy="1695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orge Barros Luís" id="{C915141D-E271-4FED-B30F-0F526AB46C18}" userId="S::jjluis@bancomontepio.pt::106c4cbc-1c38-4ee6-a919-4ae6a0d5413a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" dT="2024-11-23T21:55:59.77" personId="{C915141D-E271-4FED-B30F-0F526AB46C18}" id="{6E6555C8-E883-45AC-9B3D-1C7C283B1BF7}">
    <text>The end-of-year discount factor is used given that at the beginning of each year it is unknown whether a default will happen (if that is the case, the default is assumed to happen at mid-year).</text>
  </threadedComment>
  <threadedComment ref="F1" dT="2024-11-23T22:18:32.93" personId="{C915141D-E271-4FED-B30F-0F526AB46C18}" id="{D2FC27C8-0ABA-4800-B4E6-7E93BB6D5B18}">
    <text>The 1y PD is used given that at the beginning of each year the time of a potential default is unknown (even though we're assuming that if defaults happen, that will occur in the mid-year),</text>
  </threadedComment>
  <threadedComment ref="H1" dT="2024-11-23T22:20:40.17" personId="{C915141D-E271-4FED-B30F-0F526AB46C18}" id="{4F743218-B034-4EB7-A15D-94DE338F2D7A}">
    <text>It uses the mid-year discount factot, given that the defaults are assumed to happen at mid-year.</text>
  </threadedComment>
</ThreadedComment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5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4.5" x14ac:dyDescent="0.35"/>
  <cols>
    <col min="2" max="2" width="50.1796875" bestFit="1" customWidth="1"/>
    <col min="21" max="21" width="11.90625" bestFit="1" customWidth="1"/>
  </cols>
  <sheetData>
    <row r="1" spans="1:18" x14ac:dyDescent="0.35">
      <c r="C1" s="25" t="s">
        <v>87</v>
      </c>
      <c r="D1" s="25"/>
      <c r="E1" s="25"/>
      <c r="F1" s="25"/>
      <c r="G1" s="25"/>
      <c r="H1" s="25"/>
      <c r="I1" s="25"/>
      <c r="J1" s="25"/>
      <c r="K1" s="25"/>
      <c r="L1" s="25"/>
      <c r="M1" s="25" t="s">
        <v>88</v>
      </c>
      <c r="N1" s="25"/>
      <c r="O1" s="25" t="s">
        <v>89</v>
      </c>
      <c r="P1" s="25"/>
      <c r="Q1" t="s">
        <v>90</v>
      </c>
      <c r="R1" t="s">
        <v>91</v>
      </c>
    </row>
    <row r="2" spans="1:18" x14ac:dyDescent="0.35">
      <c r="A2" s="1" t="s">
        <v>40</v>
      </c>
      <c r="B2" s="1" t="s">
        <v>41</v>
      </c>
      <c r="C2" s="2">
        <v>1</v>
      </c>
      <c r="D2" s="2">
        <v>2</v>
      </c>
      <c r="E2" s="2">
        <v>3</v>
      </c>
      <c r="F2" s="2">
        <v>4</v>
      </c>
      <c r="G2" s="2">
        <v>5</v>
      </c>
      <c r="H2" s="2">
        <v>6</v>
      </c>
      <c r="I2" s="2">
        <v>7</v>
      </c>
      <c r="J2" s="2">
        <v>8</v>
      </c>
      <c r="K2" s="2">
        <v>9</v>
      </c>
      <c r="L2" s="2">
        <v>10</v>
      </c>
      <c r="M2" s="2">
        <v>1</v>
      </c>
      <c r="N2" s="2">
        <v>2</v>
      </c>
      <c r="O2" s="2">
        <v>1</v>
      </c>
      <c r="P2" s="2">
        <v>2</v>
      </c>
    </row>
    <row r="3" spans="1:18" x14ac:dyDescent="0.35">
      <c r="A3" s="1"/>
      <c r="B3" s="1"/>
      <c r="C3" s="20">
        <v>1</v>
      </c>
      <c r="D3" s="20">
        <v>1</v>
      </c>
      <c r="E3" s="20">
        <v>1</v>
      </c>
      <c r="F3" s="20">
        <v>1</v>
      </c>
      <c r="G3" s="20">
        <v>1</v>
      </c>
      <c r="H3" s="20">
        <v>1</v>
      </c>
      <c r="I3" s="20">
        <v>1</v>
      </c>
      <c r="J3" s="20">
        <v>1</v>
      </c>
      <c r="K3" s="20">
        <v>1</v>
      </c>
      <c r="L3" s="20">
        <v>1</v>
      </c>
      <c r="M3" s="20">
        <v>3.5</v>
      </c>
      <c r="N3" s="20">
        <v>1.5</v>
      </c>
      <c r="O3" s="20">
        <v>2</v>
      </c>
      <c r="P3" s="20">
        <v>3</v>
      </c>
      <c r="Q3" s="21">
        <f>SUM(C3:P3)</f>
        <v>20</v>
      </c>
      <c r="R3" s="5"/>
    </row>
    <row r="4" spans="1:18" x14ac:dyDescent="0.35">
      <c r="A4">
        <v>65136</v>
      </c>
      <c r="B4" t="s">
        <v>0</v>
      </c>
      <c r="C4">
        <v>1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-0.25</v>
      </c>
      <c r="L4">
        <v>-0.25</v>
      </c>
      <c r="M4">
        <v>1.75</v>
      </c>
      <c r="N4">
        <v>0.75</v>
      </c>
      <c r="O4">
        <v>1.75</v>
      </c>
      <c r="P4">
        <v>0</v>
      </c>
      <c r="Q4" s="21">
        <f t="shared" ref="Q4:Q43" si="0">SUM(C4:P4)</f>
        <v>11.75</v>
      </c>
      <c r="R4" s="5">
        <f t="shared" ref="R4:R43" si="1">ROUND(Q4,0)</f>
        <v>12</v>
      </c>
    </row>
    <row r="5" spans="1:18" x14ac:dyDescent="0.35">
      <c r="A5">
        <v>64666</v>
      </c>
      <c r="B5" t="s">
        <v>1</v>
      </c>
      <c r="C5">
        <v>-0.25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-0.25</v>
      </c>
      <c r="L5">
        <v>-0.25</v>
      </c>
      <c r="M5">
        <v>2</v>
      </c>
      <c r="N5">
        <v>0</v>
      </c>
      <c r="O5">
        <v>2</v>
      </c>
      <c r="P5">
        <v>2.75</v>
      </c>
      <c r="Q5" s="21">
        <f t="shared" si="0"/>
        <v>13</v>
      </c>
      <c r="R5" s="5">
        <f t="shared" si="1"/>
        <v>13</v>
      </c>
    </row>
    <row r="6" spans="1:18" x14ac:dyDescent="0.35">
      <c r="A6">
        <v>66792</v>
      </c>
      <c r="B6" t="s">
        <v>2</v>
      </c>
      <c r="C6">
        <v>-0.25</v>
      </c>
      <c r="D6">
        <v>1</v>
      </c>
      <c r="E6">
        <v>1</v>
      </c>
      <c r="F6">
        <v>1</v>
      </c>
      <c r="G6">
        <v>1</v>
      </c>
      <c r="H6">
        <v>-0.25</v>
      </c>
      <c r="I6">
        <v>1</v>
      </c>
      <c r="J6">
        <v>1</v>
      </c>
      <c r="K6">
        <v>-0.25</v>
      </c>
      <c r="L6">
        <v>-0.25</v>
      </c>
      <c r="M6">
        <v>2.5</v>
      </c>
      <c r="N6">
        <v>0.5</v>
      </c>
      <c r="O6">
        <v>2</v>
      </c>
      <c r="P6">
        <v>0.75</v>
      </c>
      <c r="Q6" s="21">
        <f t="shared" si="0"/>
        <v>10.75</v>
      </c>
      <c r="R6" s="5">
        <f t="shared" si="1"/>
        <v>11</v>
      </c>
    </row>
    <row r="7" spans="1:18" x14ac:dyDescent="0.35">
      <c r="A7">
        <v>64760</v>
      </c>
      <c r="B7" t="s">
        <v>3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-0.25</v>
      </c>
      <c r="L7">
        <v>-0.25</v>
      </c>
      <c r="M7">
        <v>1.5</v>
      </c>
      <c r="N7">
        <v>0.5</v>
      </c>
      <c r="O7">
        <v>2</v>
      </c>
      <c r="P7">
        <v>0.25</v>
      </c>
      <c r="Q7" s="21">
        <f t="shared" si="0"/>
        <v>11.75</v>
      </c>
      <c r="R7" s="5">
        <f t="shared" si="1"/>
        <v>12</v>
      </c>
    </row>
    <row r="8" spans="1:18" x14ac:dyDescent="0.35">
      <c r="A8">
        <v>65001</v>
      </c>
      <c r="B8" t="s">
        <v>4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-0.25</v>
      </c>
      <c r="L8">
        <v>-0.25</v>
      </c>
      <c r="M8">
        <v>3</v>
      </c>
      <c r="N8">
        <v>0.75</v>
      </c>
      <c r="O8">
        <v>2</v>
      </c>
      <c r="P8">
        <v>2.75</v>
      </c>
      <c r="Q8" s="21">
        <f t="shared" si="0"/>
        <v>16</v>
      </c>
      <c r="R8" s="5">
        <f t="shared" si="1"/>
        <v>16</v>
      </c>
    </row>
    <row r="9" spans="1:18" x14ac:dyDescent="0.35">
      <c r="A9">
        <v>59748</v>
      </c>
      <c r="B9" t="s">
        <v>5</v>
      </c>
      <c r="C9">
        <v>1</v>
      </c>
      <c r="D9">
        <v>-0.25</v>
      </c>
      <c r="E9">
        <v>-0.25</v>
      </c>
      <c r="F9">
        <v>1</v>
      </c>
      <c r="G9">
        <v>1</v>
      </c>
      <c r="H9">
        <v>1</v>
      </c>
      <c r="I9">
        <v>-0.25</v>
      </c>
      <c r="J9">
        <v>-0.25</v>
      </c>
      <c r="K9">
        <v>-0.25</v>
      </c>
      <c r="L9">
        <v>-0.25</v>
      </c>
      <c r="M9">
        <v>3</v>
      </c>
      <c r="N9">
        <v>0.75</v>
      </c>
      <c r="O9">
        <v>1.5</v>
      </c>
      <c r="P9">
        <v>0.25</v>
      </c>
      <c r="Q9" s="21">
        <f t="shared" si="0"/>
        <v>8</v>
      </c>
      <c r="R9" s="5">
        <f t="shared" si="1"/>
        <v>8</v>
      </c>
    </row>
    <row r="10" spans="1:18" x14ac:dyDescent="0.35">
      <c r="A10">
        <v>53593</v>
      </c>
      <c r="B10" t="s">
        <v>6</v>
      </c>
      <c r="C10">
        <v>1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-0.25</v>
      </c>
      <c r="L10">
        <v>1</v>
      </c>
      <c r="M10">
        <v>3</v>
      </c>
      <c r="N10">
        <v>0.75</v>
      </c>
      <c r="O10">
        <v>2</v>
      </c>
      <c r="P10">
        <v>0.25</v>
      </c>
      <c r="Q10" s="21">
        <f t="shared" si="0"/>
        <v>14.75</v>
      </c>
      <c r="R10" s="5">
        <f t="shared" si="1"/>
        <v>15</v>
      </c>
    </row>
    <row r="11" spans="1:18" x14ac:dyDescent="0.35">
      <c r="A11">
        <v>65653</v>
      </c>
      <c r="B11" t="s">
        <v>7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-0.25</v>
      </c>
      <c r="L11">
        <v>-0.25</v>
      </c>
      <c r="M11">
        <v>3</v>
      </c>
      <c r="N11">
        <v>1.5</v>
      </c>
      <c r="O11">
        <v>2</v>
      </c>
      <c r="P11">
        <v>2.5</v>
      </c>
      <c r="Q11" s="21">
        <f t="shared" si="0"/>
        <v>16.5</v>
      </c>
      <c r="R11" s="5">
        <f t="shared" si="1"/>
        <v>17</v>
      </c>
    </row>
    <row r="12" spans="1:18" x14ac:dyDescent="0.35">
      <c r="A12">
        <v>64660</v>
      </c>
      <c r="B12" t="s">
        <v>8</v>
      </c>
      <c r="C12">
        <v>1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-0.25</v>
      </c>
      <c r="L12">
        <v>-0.25</v>
      </c>
      <c r="M12">
        <v>3</v>
      </c>
      <c r="N12">
        <v>0.75</v>
      </c>
      <c r="O12">
        <v>2</v>
      </c>
      <c r="P12">
        <v>0.25</v>
      </c>
      <c r="Q12" s="21">
        <f t="shared" si="0"/>
        <v>13.5</v>
      </c>
      <c r="R12" s="5">
        <f t="shared" si="1"/>
        <v>14</v>
      </c>
    </row>
    <row r="13" spans="1:18" x14ac:dyDescent="0.35">
      <c r="A13">
        <v>65425</v>
      </c>
      <c r="B13" t="s">
        <v>9</v>
      </c>
      <c r="C13">
        <v>-0.25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-0.25</v>
      </c>
      <c r="L13">
        <v>-0.25</v>
      </c>
      <c r="M13">
        <v>2.75</v>
      </c>
      <c r="N13">
        <v>0.75</v>
      </c>
      <c r="O13">
        <v>2</v>
      </c>
      <c r="P13">
        <v>0.75</v>
      </c>
      <c r="Q13" s="21">
        <f t="shared" si="0"/>
        <v>12.5</v>
      </c>
      <c r="R13" s="5">
        <f t="shared" si="1"/>
        <v>13</v>
      </c>
    </row>
    <row r="14" spans="1:18" x14ac:dyDescent="0.35">
      <c r="A14">
        <v>60047</v>
      </c>
      <c r="B14" t="s">
        <v>10</v>
      </c>
      <c r="Q14" s="21" t="s">
        <v>92</v>
      </c>
      <c r="R14" s="5" t="s">
        <v>92</v>
      </c>
    </row>
    <row r="15" spans="1:18" x14ac:dyDescent="0.35">
      <c r="A15">
        <v>65257</v>
      </c>
      <c r="B15" t="s">
        <v>11</v>
      </c>
      <c r="C15">
        <v>-0.25</v>
      </c>
      <c r="D15">
        <v>1</v>
      </c>
      <c r="E15">
        <v>-0.25</v>
      </c>
      <c r="F15">
        <v>1</v>
      </c>
      <c r="G15">
        <v>1</v>
      </c>
      <c r="H15">
        <v>1</v>
      </c>
      <c r="I15">
        <v>1</v>
      </c>
      <c r="J15">
        <v>1</v>
      </c>
      <c r="K15">
        <v>-0.25</v>
      </c>
      <c r="L15">
        <v>-0.25</v>
      </c>
      <c r="M15">
        <v>3</v>
      </c>
      <c r="N15">
        <v>0.5</v>
      </c>
      <c r="O15">
        <v>2</v>
      </c>
      <c r="P15">
        <v>3</v>
      </c>
      <c r="Q15" s="21">
        <f t="shared" si="0"/>
        <v>13.5</v>
      </c>
      <c r="R15" s="5">
        <f t="shared" si="1"/>
        <v>14</v>
      </c>
    </row>
    <row r="16" spans="1:18" x14ac:dyDescent="0.35">
      <c r="A16">
        <v>65328</v>
      </c>
      <c r="B16" t="s">
        <v>12</v>
      </c>
      <c r="C16">
        <v>-0.25</v>
      </c>
      <c r="D16">
        <v>-0.25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-0.25</v>
      </c>
      <c r="L16">
        <v>-0.25</v>
      </c>
      <c r="M16">
        <v>3</v>
      </c>
      <c r="N16">
        <v>1</v>
      </c>
      <c r="O16">
        <v>2</v>
      </c>
      <c r="P16">
        <v>0.5</v>
      </c>
      <c r="Q16" s="21">
        <f t="shared" si="0"/>
        <v>11.5</v>
      </c>
      <c r="R16" s="5">
        <f t="shared" si="1"/>
        <v>12</v>
      </c>
    </row>
    <row r="17" spans="1:22" x14ac:dyDescent="0.35">
      <c r="A17">
        <v>66763</v>
      </c>
      <c r="B17" t="s">
        <v>13</v>
      </c>
      <c r="C17">
        <v>-0.25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-0.25</v>
      </c>
      <c r="L17">
        <v>-0.25</v>
      </c>
      <c r="M17">
        <v>0</v>
      </c>
      <c r="N17">
        <v>0</v>
      </c>
      <c r="O17">
        <v>2</v>
      </c>
      <c r="P17">
        <v>0</v>
      </c>
      <c r="Q17" s="21">
        <f t="shared" si="0"/>
        <v>8.25</v>
      </c>
      <c r="R17" s="5">
        <f t="shared" si="1"/>
        <v>8</v>
      </c>
    </row>
    <row r="18" spans="1:22" x14ac:dyDescent="0.35">
      <c r="A18">
        <v>64692</v>
      </c>
      <c r="B18" t="s">
        <v>14</v>
      </c>
      <c r="C18">
        <v>-0.25</v>
      </c>
      <c r="D18">
        <v>1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-0.25</v>
      </c>
      <c r="L18">
        <v>-0.25</v>
      </c>
      <c r="M18">
        <v>3.25</v>
      </c>
      <c r="N18">
        <v>1</v>
      </c>
      <c r="O18">
        <v>2</v>
      </c>
      <c r="P18">
        <v>3</v>
      </c>
      <c r="Q18" s="21">
        <f t="shared" si="0"/>
        <v>15.5</v>
      </c>
      <c r="R18" s="5">
        <f t="shared" si="1"/>
        <v>16</v>
      </c>
    </row>
    <row r="19" spans="1:22" x14ac:dyDescent="0.35">
      <c r="A19">
        <v>65253</v>
      </c>
      <c r="B19" t="s">
        <v>15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-0.25</v>
      </c>
      <c r="L19">
        <v>-0.25</v>
      </c>
      <c r="M19">
        <v>2.25</v>
      </c>
      <c r="N19">
        <v>0.75</v>
      </c>
      <c r="O19">
        <v>2</v>
      </c>
      <c r="P19">
        <v>3</v>
      </c>
      <c r="Q19" s="21">
        <f t="shared" si="0"/>
        <v>15.5</v>
      </c>
      <c r="R19" s="5">
        <f t="shared" si="1"/>
        <v>16</v>
      </c>
    </row>
    <row r="20" spans="1:22" x14ac:dyDescent="0.35">
      <c r="A20">
        <v>65134</v>
      </c>
      <c r="B20" t="s">
        <v>16</v>
      </c>
      <c r="C20">
        <v>0</v>
      </c>
      <c r="D20">
        <v>0</v>
      </c>
      <c r="E20">
        <v>-0.25</v>
      </c>
      <c r="F20">
        <v>1</v>
      </c>
      <c r="G20">
        <v>1</v>
      </c>
      <c r="H20">
        <v>1</v>
      </c>
      <c r="I20">
        <v>0</v>
      </c>
      <c r="J20">
        <v>1</v>
      </c>
      <c r="K20">
        <v>0</v>
      </c>
      <c r="L20">
        <v>0</v>
      </c>
      <c r="M20">
        <v>2.75</v>
      </c>
      <c r="N20">
        <v>1</v>
      </c>
      <c r="O20">
        <v>0.25</v>
      </c>
      <c r="P20">
        <v>1.75</v>
      </c>
      <c r="Q20" s="21">
        <f t="shared" si="0"/>
        <v>9.5</v>
      </c>
      <c r="R20" s="5">
        <f t="shared" si="1"/>
        <v>10</v>
      </c>
      <c r="V20" s="3"/>
    </row>
    <row r="21" spans="1:22" x14ac:dyDescent="0.35">
      <c r="A21">
        <v>64813</v>
      </c>
      <c r="B21" t="s">
        <v>17</v>
      </c>
      <c r="C21">
        <v>1</v>
      </c>
      <c r="D21">
        <v>1</v>
      </c>
      <c r="E21">
        <v>-0.25</v>
      </c>
      <c r="F21">
        <v>1</v>
      </c>
      <c r="G21">
        <v>1</v>
      </c>
      <c r="H21">
        <v>1</v>
      </c>
      <c r="I21">
        <v>-0.25</v>
      </c>
      <c r="J21">
        <v>-0.25</v>
      </c>
      <c r="K21">
        <v>-0.25</v>
      </c>
      <c r="L21">
        <v>-0.25</v>
      </c>
      <c r="M21">
        <v>3.5</v>
      </c>
      <c r="N21">
        <v>1.25</v>
      </c>
      <c r="O21">
        <v>2</v>
      </c>
      <c r="P21">
        <v>2.5</v>
      </c>
      <c r="Q21" s="21">
        <f t="shared" si="0"/>
        <v>13</v>
      </c>
      <c r="R21" s="5">
        <f t="shared" si="1"/>
        <v>13</v>
      </c>
      <c r="V21" s="5"/>
    </row>
    <row r="22" spans="1:22" x14ac:dyDescent="0.35">
      <c r="A22">
        <v>65194</v>
      </c>
      <c r="B22" t="s">
        <v>18</v>
      </c>
      <c r="C22">
        <v>1</v>
      </c>
      <c r="D22">
        <v>1</v>
      </c>
      <c r="E22">
        <v>1</v>
      </c>
      <c r="F22">
        <v>1</v>
      </c>
      <c r="G22">
        <v>-0.25</v>
      </c>
      <c r="H22">
        <v>1</v>
      </c>
      <c r="I22">
        <v>1</v>
      </c>
      <c r="J22">
        <v>0</v>
      </c>
      <c r="K22">
        <v>-0.25</v>
      </c>
      <c r="L22">
        <v>-0.25</v>
      </c>
      <c r="M22">
        <v>0</v>
      </c>
      <c r="N22">
        <v>0</v>
      </c>
      <c r="O22">
        <v>2</v>
      </c>
      <c r="P22">
        <v>0.75</v>
      </c>
      <c r="Q22" s="21">
        <f t="shared" si="0"/>
        <v>8</v>
      </c>
      <c r="R22" s="5">
        <f t="shared" si="1"/>
        <v>8</v>
      </c>
      <c r="V22" s="5"/>
    </row>
    <row r="23" spans="1:22" x14ac:dyDescent="0.35">
      <c r="A23">
        <v>58006</v>
      </c>
      <c r="B23" t="s">
        <v>19</v>
      </c>
      <c r="Q23" s="21" t="s">
        <v>92</v>
      </c>
      <c r="R23" s="5" t="s">
        <v>92</v>
      </c>
    </row>
    <row r="24" spans="1:22" x14ac:dyDescent="0.35">
      <c r="A24">
        <v>59578</v>
      </c>
      <c r="B24" t="s">
        <v>20</v>
      </c>
      <c r="C24">
        <v>1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-0.25</v>
      </c>
      <c r="L24">
        <v>-0.25</v>
      </c>
      <c r="M24">
        <v>3.5</v>
      </c>
      <c r="N24">
        <v>1.25</v>
      </c>
      <c r="O24">
        <v>2</v>
      </c>
      <c r="P24">
        <v>1.25</v>
      </c>
      <c r="Q24" s="21">
        <f t="shared" si="0"/>
        <v>15.5</v>
      </c>
      <c r="R24" s="5">
        <f t="shared" si="1"/>
        <v>16</v>
      </c>
    </row>
    <row r="25" spans="1:22" x14ac:dyDescent="0.35">
      <c r="A25">
        <v>65341</v>
      </c>
      <c r="B25" t="s">
        <v>21</v>
      </c>
      <c r="C25">
        <v>1</v>
      </c>
      <c r="D25">
        <v>-0.25</v>
      </c>
      <c r="E25">
        <v>-0.25</v>
      </c>
      <c r="F25">
        <v>-0.25</v>
      </c>
      <c r="G25">
        <v>1</v>
      </c>
      <c r="H25">
        <v>1</v>
      </c>
      <c r="I25">
        <v>1</v>
      </c>
      <c r="K25">
        <v>-0.25</v>
      </c>
      <c r="L25">
        <v>-0.25</v>
      </c>
      <c r="M25">
        <v>3.25</v>
      </c>
      <c r="N25">
        <v>1.5</v>
      </c>
      <c r="O25">
        <v>2</v>
      </c>
      <c r="P25">
        <v>0.5</v>
      </c>
      <c r="Q25" s="21">
        <f t="shared" si="0"/>
        <v>10</v>
      </c>
      <c r="R25" s="5">
        <f t="shared" si="1"/>
        <v>10</v>
      </c>
    </row>
    <row r="26" spans="1:22" x14ac:dyDescent="0.35">
      <c r="A26">
        <v>57912</v>
      </c>
      <c r="B26" t="s">
        <v>22</v>
      </c>
      <c r="C26">
        <v>-0.25</v>
      </c>
      <c r="D26">
        <v>1</v>
      </c>
      <c r="E26">
        <v>-0.25</v>
      </c>
      <c r="F26">
        <v>1</v>
      </c>
      <c r="G26">
        <v>1</v>
      </c>
      <c r="H26">
        <v>1</v>
      </c>
      <c r="I26">
        <v>-0.25</v>
      </c>
      <c r="K26">
        <v>-0.25</v>
      </c>
      <c r="L26">
        <v>-0.25</v>
      </c>
      <c r="M26">
        <v>2.25</v>
      </c>
      <c r="N26">
        <v>1</v>
      </c>
      <c r="O26">
        <v>2</v>
      </c>
      <c r="P26">
        <v>0</v>
      </c>
      <c r="Q26" s="21">
        <f t="shared" si="0"/>
        <v>8</v>
      </c>
      <c r="R26" s="5">
        <f t="shared" si="1"/>
        <v>8</v>
      </c>
    </row>
    <row r="27" spans="1:22" x14ac:dyDescent="0.35">
      <c r="A27">
        <v>65752</v>
      </c>
      <c r="B27" t="s">
        <v>23</v>
      </c>
      <c r="C27">
        <v>-0.25</v>
      </c>
      <c r="D27">
        <v>1</v>
      </c>
      <c r="E27">
        <v>1</v>
      </c>
      <c r="F27">
        <v>1</v>
      </c>
      <c r="G27">
        <v>-0.25</v>
      </c>
      <c r="H27">
        <v>1</v>
      </c>
      <c r="I27">
        <v>-0.25</v>
      </c>
      <c r="J27">
        <v>1</v>
      </c>
      <c r="K27">
        <v>-0.25</v>
      </c>
      <c r="L27">
        <v>-0.25</v>
      </c>
      <c r="M27">
        <v>1.75</v>
      </c>
      <c r="N27">
        <v>0.5</v>
      </c>
      <c r="O27">
        <v>2</v>
      </c>
      <c r="P27">
        <v>0</v>
      </c>
      <c r="Q27" s="21">
        <f t="shared" si="0"/>
        <v>8</v>
      </c>
      <c r="R27" s="5">
        <f t="shared" si="1"/>
        <v>8</v>
      </c>
    </row>
    <row r="28" spans="1:22" x14ac:dyDescent="0.35">
      <c r="A28">
        <v>65224</v>
      </c>
      <c r="B28" t="s">
        <v>24</v>
      </c>
      <c r="C28">
        <v>1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-0.25</v>
      </c>
      <c r="L28">
        <v>-0.25</v>
      </c>
      <c r="M28">
        <v>2</v>
      </c>
      <c r="N28">
        <v>0.25</v>
      </c>
      <c r="O28">
        <v>1</v>
      </c>
      <c r="P28">
        <v>1.75</v>
      </c>
      <c r="Q28" s="21">
        <f t="shared" si="0"/>
        <v>12.5</v>
      </c>
      <c r="R28" s="5">
        <f t="shared" si="1"/>
        <v>13</v>
      </c>
    </row>
    <row r="29" spans="1:22" x14ac:dyDescent="0.35">
      <c r="A29">
        <v>60145</v>
      </c>
      <c r="B29" t="s">
        <v>25</v>
      </c>
      <c r="C29">
        <v>-0.25</v>
      </c>
      <c r="D29">
        <v>1</v>
      </c>
      <c r="E29">
        <v>-0.25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v>1</v>
      </c>
      <c r="M29">
        <v>2.25</v>
      </c>
      <c r="N29">
        <v>1.25</v>
      </c>
      <c r="O29">
        <v>1.5</v>
      </c>
      <c r="P29">
        <v>2</v>
      </c>
      <c r="Q29" s="21">
        <f t="shared" si="0"/>
        <v>14.5</v>
      </c>
      <c r="R29" s="5">
        <f t="shared" si="1"/>
        <v>15</v>
      </c>
    </row>
    <row r="30" spans="1:22" x14ac:dyDescent="0.35">
      <c r="A30">
        <v>64642</v>
      </c>
      <c r="B30" t="s">
        <v>26</v>
      </c>
      <c r="C30">
        <v>-0.25</v>
      </c>
      <c r="D30">
        <v>1</v>
      </c>
      <c r="E30">
        <v>1</v>
      </c>
      <c r="F30">
        <v>1</v>
      </c>
      <c r="G30">
        <v>1</v>
      </c>
      <c r="H30">
        <v>1</v>
      </c>
      <c r="I30">
        <v>1</v>
      </c>
      <c r="J30">
        <v>1</v>
      </c>
      <c r="K30">
        <v>-0.25</v>
      </c>
      <c r="L30">
        <v>-0.25</v>
      </c>
      <c r="M30">
        <v>2</v>
      </c>
      <c r="N30">
        <v>1</v>
      </c>
      <c r="O30">
        <v>2</v>
      </c>
      <c r="P30">
        <v>2.75</v>
      </c>
      <c r="Q30" s="21">
        <f t="shared" si="0"/>
        <v>14</v>
      </c>
      <c r="R30" s="5">
        <f t="shared" si="1"/>
        <v>14</v>
      </c>
    </row>
    <row r="31" spans="1:22" x14ac:dyDescent="0.35">
      <c r="A31">
        <v>65236</v>
      </c>
      <c r="B31" t="s">
        <v>27</v>
      </c>
      <c r="C31">
        <v>-0.25</v>
      </c>
      <c r="D31">
        <v>1</v>
      </c>
      <c r="E31">
        <v>1</v>
      </c>
      <c r="F31">
        <v>1</v>
      </c>
      <c r="G31">
        <v>1</v>
      </c>
      <c r="H31">
        <v>1</v>
      </c>
      <c r="I31">
        <v>-0.25</v>
      </c>
      <c r="J31">
        <v>1</v>
      </c>
      <c r="K31">
        <v>-0.25</v>
      </c>
      <c r="L31">
        <v>-0.25</v>
      </c>
      <c r="M31">
        <v>3</v>
      </c>
      <c r="N31">
        <v>1.25</v>
      </c>
      <c r="O31">
        <v>2</v>
      </c>
      <c r="P31">
        <v>3</v>
      </c>
      <c r="Q31" s="21">
        <f t="shared" si="0"/>
        <v>14.25</v>
      </c>
      <c r="R31" s="5">
        <f t="shared" si="1"/>
        <v>14</v>
      </c>
    </row>
    <row r="32" spans="1:22" x14ac:dyDescent="0.35">
      <c r="A32">
        <v>65282</v>
      </c>
      <c r="B32" t="s">
        <v>28</v>
      </c>
      <c r="C32">
        <v>1</v>
      </c>
      <c r="D32">
        <v>1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  <c r="K32">
        <v>-0.25</v>
      </c>
      <c r="L32">
        <v>-0.25</v>
      </c>
      <c r="M32">
        <v>3</v>
      </c>
      <c r="N32">
        <v>1.25</v>
      </c>
      <c r="O32">
        <v>1</v>
      </c>
      <c r="P32">
        <v>0</v>
      </c>
      <c r="Q32" s="21">
        <f t="shared" si="0"/>
        <v>12.75</v>
      </c>
      <c r="R32" s="5">
        <f t="shared" si="1"/>
        <v>13</v>
      </c>
    </row>
    <row r="33" spans="1:18" x14ac:dyDescent="0.35">
      <c r="A33">
        <v>65263</v>
      </c>
      <c r="B33" t="s">
        <v>29</v>
      </c>
      <c r="C33">
        <v>1</v>
      </c>
      <c r="D33">
        <v>1</v>
      </c>
      <c r="E33">
        <v>-0.25</v>
      </c>
      <c r="F33">
        <v>1</v>
      </c>
      <c r="G33">
        <v>1</v>
      </c>
      <c r="H33">
        <v>1</v>
      </c>
      <c r="I33">
        <v>-0.25</v>
      </c>
      <c r="J33">
        <v>1</v>
      </c>
      <c r="K33">
        <v>-0.25</v>
      </c>
      <c r="L33">
        <v>-0.25</v>
      </c>
      <c r="M33">
        <v>2.75</v>
      </c>
      <c r="N33">
        <v>1.25</v>
      </c>
      <c r="O33">
        <v>2</v>
      </c>
      <c r="P33">
        <v>0</v>
      </c>
      <c r="Q33" s="21">
        <f t="shared" si="0"/>
        <v>11</v>
      </c>
      <c r="R33" s="5">
        <f t="shared" si="1"/>
        <v>11</v>
      </c>
    </row>
    <row r="34" spans="1:18" x14ac:dyDescent="0.35">
      <c r="A34">
        <v>64937</v>
      </c>
      <c r="B34" t="s">
        <v>30</v>
      </c>
      <c r="C34">
        <v>1</v>
      </c>
      <c r="D34">
        <v>1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  <c r="K34">
        <v>-0.25</v>
      </c>
      <c r="L34">
        <v>-0.25</v>
      </c>
      <c r="M34">
        <v>2.75</v>
      </c>
      <c r="N34">
        <v>1.25</v>
      </c>
      <c r="O34">
        <v>2</v>
      </c>
      <c r="P34">
        <v>3</v>
      </c>
      <c r="Q34" s="21">
        <f t="shared" si="0"/>
        <v>16.5</v>
      </c>
      <c r="R34" s="5">
        <f t="shared" si="1"/>
        <v>17</v>
      </c>
    </row>
    <row r="35" spans="1:18" x14ac:dyDescent="0.35">
      <c r="A35">
        <v>65361</v>
      </c>
      <c r="B35" t="s">
        <v>31</v>
      </c>
      <c r="C35">
        <v>-0.25</v>
      </c>
      <c r="D35">
        <v>1</v>
      </c>
      <c r="E35">
        <v>-0.25</v>
      </c>
      <c r="F35">
        <v>1</v>
      </c>
      <c r="G35">
        <v>-0.25</v>
      </c>
      <c r="H35">
        <v>1</v>
      </c>
      <c r="I35">
        <v>-0.25</v>
      </c>
      <c r="J35">
        <v>1</v>
      </c>
      <c r="K35">
        <v>-0.25</v>
      </c>
      <c r="L35">
        <v>-0.25</v>
      </c>
      <c r="M35">
        <v>3</v>
      </c>
      <c r="N35">
        <v>1.25</v>
      </c>
      <c r="O35">
        <v>1</v>
      </c>
      <c r="P35">
        <v>2.75</v>
      </c>
      <c r="Q35" s="21">
        <f t="shared" si="0"/>
        <v>10.5</v>
      </c>
      <c r="R35" s="5">
        <f t="shared" si="1"/>
        <v>11</v>
      </c>
    </row>
    <row r="36" spans="1:18" x14ac:dyDescent="0.35">
      <c r="A36">
        <v>65183</v>
      </c>
      <c r="B36" t="s">
        <v>32</v>
      </c>
      <c r="C36">
        <v>1</v>
      </c>
      <c r="D36">
        <v>1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>
        <v>-0.25</v>
      </c>
      <c r="L36">
        <v>-0.25</v>
      </c>
      <c r="M36">
        <v>3</v>
      </c>
      <c r="N36">
        <v>1</v>
      </c>
      <c r="O36">
        <v>1.25</v>
      </c>
      <c r="P36">
        <v>0</v>
      </c>
      <c r="Q36" s="21">
        <f t="shared" si="0"/>
        <v>12.75</v>
      </c>
      <c r="R36" s="5">
        <f t="shared" si="1"/>
        <v>13</v>
      </c>
    </row>
    <row r="37" spans="1:18" x14ac:dyDescent="0.35">
      <c r="A37">
        <v>65348</v>
      </c>
      <c r="B37" t="s">
        <v>33</v>
      </c>
      <c r="C37">
        <v>1</v>
      </c>
      <c r="D37">
        <v>1</v>
      </c>
      <c r="E37">
        <v>1</v>
      </c>
      <c r="F37">
        <v>1</v>
      </c>
      <c r="G37">
        <v>1</v>
      </c>
      <c r="H37">
        <v>1</v>
      </c>
      <c r="I37">
        <v>1</v>
      </c>
      <c r="J37">
        <v>1</v>
      </c>
      <c r="K37">
        <v>-0.25</v>
      </c>
      <c r="L37">
        <v>-0.25</v>
      </c>
      <c r="M37">
        <v>3.25</v>
      </c>
      <c r="N37">
        <v>1.5</v>
      </c>
      <c r="O37">
        <v>2</v>
      </c>
      <c r="P37">
        <v>2.75</v>
      </c>
      <c r="Q37" s="21">
        <f t="shared" si="0"/>
        <v>17</v>
      </c>
      <c r="R37" s="5">
        <f t="shared" si="1"/>
        <v>17</v>
      </c>
    </row>
    <row r="38" spans="1:18" x14ac:dyDescent="0.35">
      <c r="A38">
        <v>59536</v>
      </c>
      <c r="B38" t="s">
        <v>34</v>
      </c>
      <c r="C38">
        <v>-0.25</v>
      </c>
      <c r="D38">
        <v>-0.25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-0.25</v>
      </c>
      <c r="L38">
        <v>-0.25</v>
      </c>
      <c r="M38">
        <v>3.25</v>
      </c>
      <c r="N38">
        <v>1</v>
      </c>
      <c r="O38">
        <v>2</v>
      </c>
      <c r="P38">
        <v>2.75</v>
      </c>
      <c r="Q38" s="21">
        <f t="shared" si="0"/>
        <v>14</v>
      </c>
      <c r="R38" s="5">
        <f t="shared" si="1"/>
        <v>14</v>
      </c>
    </row>
    <row r="39" spans="1:18" x14ac:dyDescent="0.35">
      <c r="A39">
        <v>64784</v>
      </c>
      <c r="B39" t="s">
        <v>35</v>
      </c>
      <c r="C39">
        <v>1</v>
      </c>
      <c r="D39">
        <v>1</v>
      </c>
      <c r="E39">
        <v>1</v>
      </c>
      <c r="F39">
        <v>1</v>
      </c>
      <c r="G39">
        <v>1</v>
      </c>
      <c r="H39">
        <v>1</v>
      </c>
      <c r="I39">
        <v>1</v>
      </c>
      <c r="J39">
        <v>1</v>
      </c>
      <c r="K39">
        <v>-0.25</v>
      </c>
      <c r="L39">
        <v>-0.25</v>
      </c>
      <c r="M39">
        <v>2.25</v>
      </c>
      <c r="N39">
        <v>0</v>
      </c>
      <c r="O39">
        <v>2</v>
      </c>
      <c r="P39">
        <v>0.25</v>
      </c>
      <c r="Q39" s="21">
        <f t="shared" si="0"/>
        <v>12</v>
      </c>
      <c r="R39" s="5">
        <f t="shared" si="1"/>
        <v>12</v>
      </c>
    </row>
    <row r="40" spans="1:18" x14ac:dyDescent="0.35">
      <c r="A40">
        <v>57732</v>
      </c>
      <c r="B40" t="s">
        <v>36</v>
      </c>
      <c r="C40">
        <v>-0.25</v>
      </c>
      <c r="D40">
        <v>1</v>
      </c>
      <c r="E40">
        <v>1</v>
      </c>
      <c r="F40">
        <v>-0.25</v>
      </c>
      <c r="G40">
        <v>1</v>
      </c>
      <c r="H40">
        <v>1</v>
      </c>
      <c r="I40">
        <v>1</v>
      </c>
      <c r="J40">
        <v>1</v>
      </c>
      <c r="K40">
        <v>-0.25</v>
      </c>
      <c r="L40">
        <v>-0.25</v>
      </c>
      <c r="M40">
        <v>3.25</v>
      </c>
      <c r="N40">
        <v>1.25</v>
      </c>
      <c r="O40">
        <v>2</v>
      </c>
      <c r="P40">
        <v>0</v>
      </c>
      <c r="Q40" s="21">
        <f t="shared" si="0"/>
        <v>11.5</v>
      </c>
      <c r="R40" s="5">
        <f t="shared" si="1"/>
        <v>12</v>
      </c>
    </row>
    <row r="41" spans="1:18" x14ac:dyDescent="0.35">
      <c r="A41">
        <v>65190</v>
      </c>
      <c r="B41" t="s">
        <v>37</v>
      </c>
      <c r="C41">
        <v>-0.25</v>
      </c>
      <c r="D41">
        <v>1</v>
      </c>
      <c r="E41">
        <v>1</v>
      </c>
      <c r="F41">
        <v>1</v>
      </c>
      <c r="G41">
        <v>1</v>
      </c>
      <c r="H41">
        <v>1</v>
      </c>
      <c r="I41">
        <v>1</v>
      </c>
      <c r="J41">
        <v>1</v>
      </c>
      <c r="K41">
        <v>-0.25</v>
      </c>
      <c r="L41">
        <v>-0.25</v>
      </c>
      <c r="M41">
        <v>2.25</v>
      </c>
      <c r="N41">
        <v>0</v>
      </c>
      <c r="O41">
        <v>2</v>
      </c>
      <c r="P41">
        <v>0</v>
      </c>
      <c r="Q41" s="21">
        <f t="shared" si="0"/>
        <v>10.5</v>
      </c>
      <c r="R41" s="5">
        <f t="shared" si="1"/>
        <v>11</v>
      </c>
    </row>
    <row r="42" spans="1:18" x14ac:dyDescent="0.35">
      <c r="A42">
        <v>65154</v>
      </c>
      <c r="B42" t="s">
        <v>38</v>
      </c>
      <c r="C42">
        <v>-0.25</v>
      </c>
      <c r="D42">
        <v>1</v>
      </c>
      <c r="E42">
        <v>1</v>
      </c>
      <c r="F42">
        <v>1</v>
      </c>
      <c r="G42">
        <v>1</v>
      </c>
      <c r="H42">
        <v>1</v>
      </c>
      <c r="I42">
        <v>1</v>
      </c>
      <c r="J42">
        <v>1</v>
      </c>
      <c r="K42">
        <v>-0.25</v>
      </c>
      <c r="L42">
        <v>-0.25</v>
      </c>
      <c r="M42">
        <v>2.75</v>
      </c>
      <c r="N42">
        <v>0</v>
      </c>
      <c r="O42">
        <v>2</v>
      </c>
      <c r="P42">
        <v>1.5</v>
      </c>
      <c r="Q42" s="21">
        <f t="shared" si="0"/>
        <v>12.5</v>
      </c>
      <c r="R42" s="5">
        <f t="shared" si="1"/>
        <v>13</v>
      </c>
    </row>
    <row r="43" spans="1:18" x14ac:dyDescent="0.35">
      <c r="A43">
        <v>65006</v>
      </c>
      <c r="B43" t="s">
        <v>39</v>
      </c>
      <c r="C43">
        <v>1</v>
      </c>
      <c r="D43">
        <v>1</v>
      </c>
      <c r="E43">
        <v>1</v>
      </c>
      <c r="F43">
        <v>1</v>
      </c>
      <c r="G43">
        <v>1</v>
      </c>
      <c r="H43">
        <v>1</v>
      </c>
      <c r="I43">
        <v>1</v>
      </c>
      <c r="J43">
        <v>1</v>
      </c>
      <c r="K43">
        <v>-0.25</v>
      </c>
      <c r="L43">
        <v>-0.25</v>
      </c>
      <c r="M43">
        <v>0</v>
      </c>
      <c r="N43">
        <v>0.25</v>
      </c>
      <c r="O43">
        <v>2</v>
      </c>
      <c r="P43">
        <v>0.25</v>
      </c>
      <c r="Q43" s="21">
        <f t="shared" si="0"/>
        <v>10</v>
      </c>
      <c r="R43" s="5">
        <f t="shared" si="1"/>
        <v>10</v>
      </c>
    </row>
    <row r="45" spans="1:18" x14ac:dyDescent="0.35">
      <c r="R45" s="5"/>
    </row>
  </sheetData>
  <mergeCells count="3">
    <mergeCell ref="C1:L1"/>
    <mergeCell ref="O1:P1"/>
    <mergeCell ref="M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B1520-44BE-4520-A6D8-6DB0D02A7851}">
  <dimension ref="A1:B10"/>
  <sheetViews>
    <sheetView workbookViewId="0"/>
  </sheetViews>
  <sheetFormatPr defaultRowHeight="14.5" x14ac:dyDescent="0.35"/>
  <sheetData>
    <row r="1" spans="1:2" x14ac:dyDescent="0.35">
      <c r="A1">
        <v>1</v>
      </c>
      <c r="B1" t="s">
        <v>60</v>
      </c>
    </row>
    <row r="2" spans="1:2" x14ac:dyDescent="0.35">
      <c r="A2">
        <v>2</v>
      </c>
      <c r="B2" t="s">
        <v>61</v>
      </c>
    </row>
    <row r="3" spans="1:2" x14ac:dyDescent="0.35">
      <c r="A3">
        <v>3</v>
      </c>
      <c r="B3" t="s">
        <v>60</v>
      </c>
    </row>
    <row r="4" spans="1:2" x14ac:dyDescent="0.35">
      <c r="A4">
        <v>4</v>
      </c>
      <c r="B4" t="s">
        <v>62</v>
      </c>
    </row>
    <row r="5" spans="1:2" x14ac:dyDescent="0.35">
      <c r="A5">
        <v>5</v>
      </c>
      <c r="B5" t="s">
        <v>62</v>
      </c>
    </row>
    <row r="6" spans="1:2" x14ac:dyDescent="0.35">
      <c r="A6">
        <v>6</v>
      </c>
      <c r="B6" t="s">
        <v>60</v>
      </c>
    </row>
    <row r="7" spans="1:2" x14ac:dyDescent="0.35">
      <c r="A7">
        <v>7</v>
      </c>
      <c r="B7" t="s">
        <v>63</v>
      </c>
    </row>
    <row r="8" spans="1:2" x14ac:dyDescent="0.35">
      <c r="A8">
        <v>8</v>
      </c>
      <c r="B8" t="s">
        <v>61</v>
      </c>
    </row>
    <row r="9" spans="1:2" x14ac:dyDescent="0.35">
      <c r="A9">
        <v>9</v>
      </c>
      <c r="B9" t="s">
        <v>63</v>
      </c>
    </row>
    <row r="10" spans="1:2" x14ac:dyDescent="0.35">
      <c r="A10">
        <v>10</v>
      </c>
      <c r="B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ECFD6-075B-4DF9-A2C9-4C8CDC8F07E0}">
  <dimension ref="A1:I24"/>
  <sheetViews>
    <sheetView workbookViewId="0">
      <selection activeCell="B21" sqref="B21"/>
    </sheetView>
  </sheetViews>
  <sheetFormatPr defaultRowHeight="14.5" x14ac:dyDescent="0.35"/>
  <cols>
    <col min="1" max="1" width="12.36328125" bestFit="1" customWidth="1"/>
  </cols>
  <sheetData>
    <row r="1" spans="1:9" x14ac:dyDescent="0.35">
      <c r="A1" s="24" t="s">
        <v>56</v>
      </c>
    </row>
    <row r="3" spans="1:9" x14ac:dyDescent="0.35">
      <c r="A3" t="s">
        <v>95</v>
      </c>
    </row>
    <row r="5" spans="1:9" x14ac:dyDescent="0.35">
      <c r="B5" t="s">
        <v>93</v>
      </c>
      <c r="C5" s="2" t="s">
        <v>42</v>
      </c>
    </row>
    <row r="6" spans="1:9" x14ac:dyDescent="0.35">
      <c r="A6" t="s">
        <v>43</v>
      </c>
      <c r="B6">
        <v>4</v>
      </c>
      <c r="C6">
        <v>4</v>
      </c>
      <c r="I6" t="s">
        <v>44</v>
      </c>
    </row>
    <row r="7" spans="1:9" x14ac:dyDescent="0.35">
      <c r="A7" t="s">
        <v>45</v>
      </c>
      <c r="B7">
        <v>5</v>
      </c>
      <c r="C7">
        <v>5</v>
      </c>
    </row>
    <row r="8" spans="1:9" x14ac:dyDescent="0.35">
      <c r="A8" t="s">
        <v>46</v>
      </c>
      <c r="B8">
        <v>3</v>
      </c>
      <c r="C8">
        <v>3</v>
      </c>
    </row>
    <row r="9" spans="1:9" x14ac:dyDescent="0.35">
      <c r="A9" t="s">
        <v>47</v>
      </c>
      <c r="B9" s="3">
        <v>0.04</v>
      </c>
      <c r="C9" s="3">
        <v>0.04</v>
      </c>
    </row>
    <row r="10" spans="1:9" x14ac:dyDescent="0.35">
      <c r="A10" s="4" t="s">
        <v>48</v>
      </c>
      <c r="B10" s="3">
        <v>0.25</v>
      </c>
      <c r="C10" s="3">
        <v>0.25</v>
      </c>
    </row>
    <row r="11" spans="1:9" x14ac:dyDescent="0.35">
      <c r="A11" t="s">
        <v>49</v>
      </c>
      <c r="B11" s="3">
        <f>1/B8</f>
        <v>0.33333333333333331</v>
      </c>
      <c r="C11" s="3">
        <v>0</v>
      </c>
    </row>
    <row r="12" spans="1:9" x14ac:dyDescent="0.35">
      <c r="A12" t="s">
        <v>50</v>
      </c>
      <c r="B12">
        <f>(LN(B6/B7)+(B9-B11+B10^2/2)*B8)/(B10*SQRT(B8))</f>
        <v>-2.331094554278125</v>
      </c>
      <c r="C12">
        <f>(LN(C6/C7)+(C9-C11+C10^2/2)*C8)/(C10*SQRT(C8))</f>
        <v>-2.1693477519622101E-2</v>
      </c>
    </row>
    <row r="13" spans="1:9" x14ac:dyDescent="0.35">
      <c r="A13" t="s">
        <v>51</v>
      </c>
      <c r="B13">
        <f>B12-B10*SQRT(B8)</f>
        <v>-2.7641072561703441</v>
      </c>
      <c r="C13">
        <f>C12-C10*SQRT(C8)</f>
        <v>-0.45470617941184138</v>
      </c>
    </row>
    <row r="14" spans="1:9" x14ac:dyDescent="0.35">
      <c r="A14" t="s">
        <v>54</v>
      </c>
      <c r="B14">
        <v>0.49134623336761901</v>
      </c>
      <c r="C14">
        <f>NORMSDIST(C12)</f>
        <v>0.49134623336761901</v>
      </c>
    </row>
    <row r="15" spans="1:9" x14ac:dyDescent="0.35">
      <c r="A15" t="s">
        <v>55</v>
      </c>
      <c r="B15">
        <v>0.32466031732945622</v>
      </c>
      <c r="C15">
        <f>NORMSDIST(C13)</f>
        <v>0.32466031732945622</v>
      </c>
    </row>
    <row r="16" spans="1:9" x14ac:dyDescent="0.35">
      <c r="A16" s="18" t="s">
        <v>52</v>
      </c>
      <c r="B16" s="22">
        <f>B6*EXP(-B11*B8)*B14-B7*EXP(-B9*B8)*B15</f>
        <v>-0.71671464114097005</v>
      </c>
      <c r="C16" s="22">
        <f>C6*EXP(-C11*C8)*C14-C7*EXP(-C9*C8)*C15</f>
        <v>0.52564558131761485</v>
      </c>
      <c r="E16">
        <f>B6*EXP(-B11*B8)*B14</f>
        <v>0.72302471101189114</v>
      </c>
      <c r="F16">
        <f>C6*EXP(-C11*C8)*C14</f>
        <v>1.965384933470476</v>
      </c>
    </row>
    <row r="17" spans="1:6" x14ac:dyDescent="0.35">
      <c r="B17" s="5"/>
      <c r="C17" s="5"/>
      <c r="E17">
        <f>B7*EXP(-B9*B8)*B15</f>
        <v>1.4397393521528612</v>
      </c>
      <c r="F17">
        <f>C7*EXP(-C9*C8)*C15</f>
        <v>1.4397393521528612</v>
      </c>
    </row>
    <row r="18" spans="1:6" x14ac:dyDescent="0.35">
      <c r="A18" s="24" t="s">
        <v>57</v>
      </c>
      <c r="B18" s="5"/>
      <c r="C18" s="5"/>
    </row>
    <row r="19" spans="1:6" x14ac:dyDescent="0.35">
      <c r="B19" s="5"/>
      <c r="C19" s="5"/>
    </row>
    <row r="20" spans="1:6" x14ac:dyDescent="0.35">
      <c r="A20" s="18" t="s">
        <v>53</v>
      </c>
      <c r="B20" s="19">
        <f>B6-B7</f>
        <v>-1</v>
      </c>
      <c r="C20" s="19">
        <f>C6-C7</f>
        <v>-1</v>
      </c>
      <c r="E20" t="s">
        <v>58</v>
      </c>
    </row>
    <row r="21" spans="1:6" x14ac:dyDescent="0.35">
      <c r="A21" t="s">
        <v>94</v>
      </c>
      <c r="B21" s="23">
        <f>B16-B20</f>
        <v>0.28328535885902995</v>
      </c>
      <c r="C21" s="9">
        <f>C16-C20</f>
        <v>1.5256455813176149</v>
      </c>
      <c r="E21" t="s">
        <v>59</v>
      </c>
    </row>
    <row r="24" spans="1:6" x14ac:dyDescent="0.35">
      <c r="B24" t="s">
        <v>96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43C7C-CFAB-421A-9DAB-6C23939DA380}">
  <dimension ref="A1:C13"/>
  <sheetViews>
    <sheetView workbookViewId="0">
      <selection activeCell="A13" sqref="A13:B13"/>
    </sheetView>
  </sheetViews>
  <sheetFormatPr defaultRowHeight="14.5" x14ac:dyDescent="0.35"/>
  <cols>
    <col min="1" max="1" width="8.7265625" customWidth="1"/>
    <col min="2" max="2" width="8.90625" bestFit="1" customWidth="1"/>
  </cols>
  <sheetData>
    <row r="1" spans="1:3" ht="23" x14ac:dyDescent="0.5">
      <c r="A1" s="16" t="s">
        <v>81</v>
      </c>
    </row>
    <row r="3" spans="1:3" x14ac:dyDescent="0.35">
      <c r="A3" s="17" t="s">
        <v>82</v>
      </c>
    </row>
    <row r="5" spans="1:3" x14ac:dyDescent="0.35">
      <c r="A5" s="17" t="s">
        <v>80</v>
      </c>
    </row>
    <row r="7" spans="1:3" x14ac:dyDescent="0.35">
      <c r="A7" s="15" t="s">
        <v>83</v>
      </c>
    </row>
    <row r="9" spans="1:3" x14ac:dyDescent="0.35">
      <c r="A9" t="s">
        <v>84</v>
      </c>
      <c r="C9">
        <f>1-0.0026</f>
        <v>0.99739999999999995</v>
      </c>
    </row>
    <row r="11" spans="1:3" x14ac:dyDescent="0.35">
      <c r="A11" t="s">
        <v>85</v>
      </c>
      <c r="C11">
        <f>1-0.0016</f>
        <v>0.99839999999999995</v>
      </c>
    </row>
    <row r="13" spans="1:3" x14ac:dyDescent="0.35">
      <c r="A13" s="18" t="s">
        <v>86</v>
      </c>
      <c r="B13" s="28">
        <f>-(C9-C11)/C11</f>
        <v>1.0016025641025651E-3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DA4B1-03B5-420D-BEB8-EC862B26A2BF}">
  <dimension ref="A1:K10"/>
  <sheetViews>
    <sheetView workbookViewId="0">
      <selection activeCell="H4" sqref="H4"/>
    </sheetView>
  </sheetViews>
  <sheetFormatPr defaultRowHeight="14.5" x14ac:dyDescent="0.35"/>
  <cols>
    <col min="2" max="2" width="19" bestFit="1" customWidth="1"/>
    <col min="3" max="3" width="17.7265625" bestFit="1" customWidth="1"/>
    <col min="4" max="4" width="17.81640625" bestFit="1" customWidth="1"/>
    <col min="5" max="5" width="18.6328125" bestFit="1" customWidth="1"/>
    <col min="6" max="6" width="16.453125" bestFit="1" customWidth="1"/>
    <col min="7" max="7" width="16.453125" customWidth="1"/>
    <col min="8" max="8" width="13.81640625" customWidth="1"/>
    <col min="10" max="10" width="11.08984375" bestFit="1" customWidth="1"/>
  </cols>
  <sheetData>
    <row r="1" spans="1:11" x14ac:dyDescent="0.35">
      <c r="B1" s="2" t="s">
        <v>64</v>
      </c>
      <c r="C1" s="2" t="s">
        <v>65</v>
      </c>
      <c r="D1" s="2" t="s">
        <v>66</v>
      </c>
      <c r="E1" s="2" t="s">
        <v>67</v>
      </c>
      <c r="F1" s="2" t="s">
        <v>68</v>
      </c>
      <c r="G1" s="2" t="s">
        <v>65</v>
      </c>
      <c r="H1" s="2" t="s">
        <v>66</v>
      </c>
      <c r="J1" s="6" t="s">
        <v>69</v>
      </c>
      <c r="K1" s="14">
        <v>2.3E-3</v>
      </c>
    </row>
    <row r="2" spans="1:11" x14ac:dyDescent="0.35">
      <c r="B2" s="2" t="s">
        <v>70</v>
      </c>
      <c r="C2" s="2" t="s">
        <v>71</v>
      </c>
      <c r="D2" s="2" t="s">
        <v>72</v>
      </c>
      <c r="E2" s="2" t="s">
        <v>73</v>
      </c>
      <c r="F2" s="2" t="s">
        <v>74</v>
      </c>
      <c r="G2" s="2"/>
      <c r="H2" s="2" t="s">
        <v>75</v>
      </c>
      <c r="J2" s="8" t="s">
        <v>76</v>
      </c>
      <c r="K2" s="7">
        <v>0.02</v>
      </c>
    </row>
    <row r="3" spans="1:11" x14ac:dyDescent="0.35">
      <c r="A3">
        <v>1</v>
      </c>
      <c r="B3" s="9">
        <f>EXP(-K$1*A3)</f>
        <v>0.99770264297333211</v>
      </c>
      <c r="C3" s="27">
        <f>EXP(-K$2*A3)</f>
        <v>0.98019867330675525</v>
      </c>
      <c r="D3" s="27">
        <f>B3*C3</f>
        <v>0.97794680699710346</v>
      </c>
      <c r="E3" s="9">
        <f>1-B3</f>
        <v>2.29735702666789E-3</v>
      </c>
      <c r="F3" s="29">
        <f>(1-K$3)*E3</f>
        <v>1.6081499186675228E-3</v>
      </c>
      <c r="G3" s="9">
        <f>EXP(-K$2*(A3-K$4))</f>
        <v>0.98019867330675525</v>
      </c>
      <c r="H3" s="29">
        <f>F3*G3</f>
        <v>1.5763064167562723E-3</v>
      </c>
      <c r="J3" s="8" t="s">
        <v>77</v>
      </c>
      <c r="K3" s="7">
        <v>0.3</v>
      </c>
    </row>
    <row r="4" spans="1:11" x14ac:dyDescent="0.35">
      <c r="A4">
        <v>2</v>
      </c>
      <c r="B4" s="9">
        <f>EXP(-K$1*A4)</f>
        <v>0.99541056379597226</v>
      </c>
      <c r="C4" s="27">
        <f>EXP(-K$2*A4)</f>
        <v>0.96078943915232318</v>
      </c>
      <c r="D4" s="27">
        <f>B4*C4</f>
        <v>0.95637995731583003</v>
      </c>
      <c r="E4" s="9">
        <f>B3-B4</f>
        <v>2.2920791773598514E-3</v>
      </c>
      <c r="F4" s="29">
        <f>(1-K$3)*E4</f>
        <v>1.604455424151896E-3</v>
      </c>
      <c r="G4" s="9">
        <f>EXP(-K$2*(A4-K$4))</f>
        <v>0.96078943915232318</v>
      </c>
      <c r="H4" s="29">
        <f>F4*G4</f>
        <v>1.541543827115803E-3</v>
      </c>
      <c r="J4" s="8" t="s">
        <v>78</v>
      </c>
      <c r="K4" s="10">
        <v>0</v>
      </c>
    </row>
    <row r="5" spans="1:11" x14ac:dyDescent="0.35">
      <c r="D5" s="13">
        <f>SUM(D3:D4)</f>
        <v>1.9343267643129334</v>
      </c>
      <c r="H5" s="13">
        <f>SUM(H3:H4)</f>
        <v>3.1178502438720754E-3</v>
      </c>
      <c r="J5" s="11" t="s">
        <v>79</v>
      </c>
      <c r="K5" s="26">
        <f>H5/D5</f>
        <v>1.611852920299909E-3</v>
      </c>
    </row>
    <row r="7" spans="1:11" x14ac:dyDescent="0.35">
      <c r="J7" s="12"/>
    </row>
    <row r="10" spans="1:11" x14ac:dyDescent="0.35">
      <c r="D10" s="3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Grades</vt:lpstr>
      <vt:lpstr>I</vt:lpstr>
      <vt:lpstr>II</vt:lpstr>
      <vt:lpstr>III.1.</vt:lpstr>
      <vt:lpstr>III.2.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HUMBERTO DA CRUZ BARROS DE JESUS LUIS</cp:lastModifiedBy>
  <dcterms:created xsi:type="dcterms:W3CDTF">2026-05-11T10:39:31Z</dcterms:created>
  <dcterms:modified xsi:type="dcterms:W3CDTF">2026-05-22T10:18:16Z</dcterms:modified>
</cp:coreProperties>
</file>