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1340" windowHeight="8835"/>
  </bookViews>
  <sheets>
    <sheet name="DATA" sheetId="8" r:id="rId1"/>
    <sheet name="DETERMINSTIC" sheetId="9" r:id="rId2"/>
    <sheet name="STOCHASTIC P" sheetId="10" r:id="rId3"/>
    <sheet name="FUNAIR_CASE_02_11" sheetId="5" r:id="rId4"/>
  </sheets>
  <definedNames>
    <definedName name="solver_adj" localSheetId="1" hidden="1">DETERMINSTIC!$B$19:$B$22</definedName>
    <definedName name="solver_adj" localSheetId="3" hidden="1">FUNAIR_CASE_02_11!$D$23:$D$25</definedName>
    <definedName name="solver_adj" localSheetId="2" hidden="1">'STOCHASTIC P'!$B$19:$B$20</definedName>
    <definedName name="solver_cvg" localSheetId="1" hidden="1">0.0001</definedName>
    <definedName name="solver_cvg" localSheetId="3" hidden="1">0.0001</definedName>
    <definedName name="solver_cvg" localSheetId="2" hidden="1">0.0001</definedName>
    <definedName name="solver_drv" localSheetId="1" hidden="1">1</definedName>
    <definedName name="solver_drv" localSheetId="3" hidden="1">1</definedName>
    <definedName name="solver_drv" localSheetId="2" hidden="1">1</definedName>
    <definedName name="solver_est" localSheetId="1" hidden="1">1</definedName>
    <definedName name="solver_est" localSheetId="3" hidden="1">1</definedName>
    <definedName name="solver_est" localSheetId="2" hidden="1">1</definedName>
    <definedName name="solver_itr" localSheetId="1" hidden="1">1000</definedName>
    <definedName name="solver_itr" localSheetId="3" hidden="1">1000</definedName>
    <definedName name="solver_itr" localSheetId="2" hidden="1">1000</definedName>
    <definedName name="solver_lhs1" localSheetId="1" hidden="1">DETERMINSTIC!$B$21</definedName>
    <definedName name="solver_lhs1" localSheetId="3" hidden="1">FUNAIR_CASE_02_11!$D$15</definedName>
    <definedName name="solver_lhs1" localSheetId="2" hidden="1">'STOCHASTIC P'!$B$15</definedName>
    <definedName name="solver_lhs2" localSheetId="1" hidden="1">DETERMINSTIC!$B$23</definedName>
    <definedName name="solver_lhs2" localSheetId="3" hidden="1">FUNAIR_CASE_02_11!$D$16:$D$17</definedName>
    <definedName name="solver_lhs2" localSheetId="2" hidden="1">'STOCHASTIC P'!$B$16</definedName>
    <definedName name="solver_lhs3" localSheetId="1" hidden="1">DETERMINSTIC!$B$15</definedName>
    <definedName name="solver_lhs3" localSheetId="3" hidden="1">FUNAIR_CASE_02_11!$D$25</definedName>
    <definedName name="solver_lhs3" localSheetId="2" hidden="1">'STOCHASTIC P'!$B$15:$B$16</definedName>
    <definedName name="solver_lhs4" localSheetId="1" hidden="1">DETERMINSTIC!$B$16:$B$17</definedName>
    <definedName name="solver_lhs4" localSheetId="3" hidden="1">FUNAIR_CASE_02_11!$B$15:$D$17</definedName>
    <definedName name="solver_lhs5" localSheetId="1" hidden="1">DETERMINSTIC!$B$19</definedName>
    <definedName name="solver_lhs5" localSheetId="3" hidden="1">FUNAIR_CASE_02_11!$B$15:$D$15</definedName>
    <definedName name="solver_lhs6" localSheetId="1" hidden="1">DETERMINSTIC!$B$20</definedName>
    <definedName name="solver_lhs6" localSheetId="3" hidden="1">FUNAIR_CASE_02_11!$B$16:$D$17</definedName>
    <definedName name="solver_lin" localSheetId="1" hidden="1">2</definedName>
    <definedName name="solver_lin" localSheetId="3" hidden="1">2</definedName>
    <definedName name="solver_lin" localSheetId="2" hidden="1">2</definedName>
    <definedName name="solver_neg" localSheetId="1" hidden="1">2</definedName>
    <definedName name="solver_neg" localSheetId="3" hidden="1">2</definedName>
    <definedName name="solver_neg" localSheetId="2" hidden="1">2</definedName>
    <definedName name="solver_num" localSheetId="1" hidden="1">6</definedName>
    <definedName name="solver_num" localSheetId="3" hidden="1">2</definedName>
    <definedName name="solver_num" localSheetId="2" hidden="1">2</definedName>
    <definedName name="solver_nwt" localSheetId="1" hidden="1">1</definedName>
    <definedName name="solver_nwt" localSheetId="3" hidden="1">1</definedName>
    <definedName name="solver_nwt" localSheetId="2" hidden="1">1</definedName>
    <definedName name="solver_opt" localSheetId="1" hidden="1">DETERMINSTIC!$B$18</definedName>
    <definedName name="solver_opt" localSheetId="3" hidden="1">FUNAIR_CASE_02_11!$D$21</definedName>
    <definedName name="solver_opt" localSheetId="2" hidden="1">'STOCHASTIC P'!$B$17</definedName>
    <definedName name="solver_pre" localSheetId="1" hidden="1">0.000001</definedName>
    <definedName name="solver_pre" localSheetId="3" hidden="1">0.000001</definedName>
    <definedName name="solver_pre" localSheetId="2" hidden="1">0.000001</definedName>
    <definedName name="solver_rel1" localSheetId="1" hidden="1">1</definedName>
    <definedName name="solver_rel1" localSheetId="3" hidden="1">2</definedName>
    <definedName name="solver_rel1" localSheetId="2" hidden="1">2</definedName>
    <definedName name="solver_rel2" localSheetId="1" hidden="1">2</definedName>
    <definedName name="solver_rel2" localSheetId="3" hidden="1">2</definedName>
    <definedName name="solver_rel2" localSheetId="2" hidden="1">2</definedName>
    <definedName name="solver_rel3" localSheetId="1" hidden="1">2</definedName>
    <definedName name="solver_rel3" localSheetId="3" hidden="1">2</definedName>
    <definedName name="solver_rel3" localSheetId="2" hidden="1">2</definedName>
    <definedName name="solver_rel4" localSheetId="1" hidden="1">2</definedName>
    <definedName name="solver_rel4" localSheetId="3" hidden="1">2</definedName>
    <definedName name="solver_rel5" localSheetId="1" hidden="1">1</definedName>
    <definedName name="solver_rel5" localSheetId="3" hidden="1">2</definedName>
    <definedName name="solver_rel6" localSheetId="1" hidden="1">3</definedName>
    <definedName name="solver_rel6" localSheetId="3" hidden="1">2</definedName>
    <definedName name="solver_rhs1" localSheetId="1" hidden="1">DETERMINSTIC!$B$3</definedName>
    <definedName name="solver_rhs1" localSheetId="3" hidden="1">0</definedName>
    <definedName name="solver_rhs1" localSheetId="2" hidden="1">0</definedName>
    <definedName name="solver_rhs2" localSheetId="1" hidden="1">DETERMINSTIC!$B$24</definedName>
    <definedName name="solver_rhs2" localSheetId="3" hidden="1">FUNAIR_CASE_02_11!$D$15</definedName>
    <definedName name="solver_rhs2" localSheetId="2" hidden="1">'STOCHASTIC P'!$B$15</definedName>
    <definedName name="solver_rhs3" localSheetId="1" hidden="1">0</definedName>
    <definedName name="solver_rhs3" localSheetId="3" hidden="1">FUNAIR_CASE_02_11!$C$25</definedName>
    <definedName name="solver_rhs3" localSheetId="2" hidden="1">'STOCHASTIC P'!#REF!</definedName>
    <definedName name="solver_rhs4" localSheetId="1" hidden="1">DETERMINSTIC!$B$15</definedName>
    <definedName name="solver_rhs4" localSheetId="3" hidden="1">FUNAIR_CASE_02_11!$D$15</definedName>
    <definedName name="solver_rhs5" localSheetId="1" hidden="1">0</definedName>
    <definedName name="solver_rhs5" localSheetId="3" hidden="1">0</definedName>
    <definedName name="solver_rhs6" localSheetId="1" hidden="1">1</definedName>
    <definedName name="solver_rhs6" localSheetId="3" hidden="1">FUNAIR_CASE_02_11!$B$15</definedName>
    <definedName name="solver_scl" localSheetId="1" hidden="1">2</definedName>
    <definedName name="solver_scl" localSheetId="3" hidden="1">2</definedName>
    <definedName name="solver_scl" localSheetId="2" hidden="1">2</definedName>
    <definedName name="solver_sho" localSheetId="1" hidden="1">2</definedName>
    <definedName name="solver_sho" localSheetId="3" hidden="1">2</definedName>
    <definedName name="solver_sho" localSheetId="2" hidden="1">2</definedName>
    <definedName name="solver_tim" localSheetId="1" hidden="1">100</definedName>
    <definedName name="solver_tim" localSheetId="3" hidden="1">100</definedName>
    <definedName name="solver_tim" localSheetId="2" hidden="1">100</definedName>
    <definedName name="solver_tol" localSheetId="1" hidden="1">0.05</definedName>
    <definedName name="solver_tol" localSheetId="3" hidden="1">0.05</definedName>
    <definedName name="solver_tol" localSheetId="2" hidden="1">0.05</definedName>
    <definedName name="solver_typ" localSheetId="1" hidden="1">2</definedName>
    <definedName name="solver_typ" localSheetId="3" hidden="1">2</definedName>
    <definedName name="solver_typ" localSheetId="2" hidden="1">3</definedName>
    <definedName name="solver_val" localSheetId="1" hidden="1">0</definedName>
    <definedName name="solver_val" localSheetId="3" hidden="1">0</definedName>
    <definedName name="solver_val" localSheetId="2" hidden="1">0</definedName>
  </definedNames>
  <calcPr calcId="125725"/>
</workbook>
</file>

<file path=xl/calcChain.xml><?xml version="1.0" encoding="utf-8"?>
<calcChain xmlns="http://schemas.openxmlformats.org/spreadsheetml/2006/main">
  <c r="G42" i="8"/>
  <c r="F42"/>
  <c r="B40" i="9"/>
  <c r="B35"/>
  <c r="B41"/>
  <c r="B15"/>
  <c r="D10" i="5"/>
  <c r="D9"/>
  <c r="D15"/>
  <c r="D4"/>
  <c r="D3"/>
  <c r="C5"/>
  <c r="B37" i="9"/>
  <c r="B24"/>
  <c r="B23"/>
  <c r="B16" s="1"/>
  <c r="B23" i="5"/>
  <c r="B24"/>
  <c r="B25"/>
  <c r="B6" i="9"/>
  <c r="B6" i="5" s="1"/>
  <c r="B48" i="9"/>
  <c r="B47"/>
  <c r="B18" a="1"/>
  <c r="L48"/>
  <c r="K48"/>
  <c r="J48"/>
  <c r="I48"/>
  <c r="H48"/>
  <c r="G48"/>
  <c r="F48"/>
  <c r="E48"/>
  <c r="D48"/>
  <c r="C48"/>
  <c r="L47"/>
  <c r="L49" s="1"/>
  <c r="K47"/>
  <c r="K49" s="1"/>
  <c r="J47"/>
  <c r="J49" s="1"/>
  <c r="I47"/>
  <c r="I49" s="1"/>
  <c r="H47"/>
  <c r="H49" s="1"/>
  <c r="G47"/>
  <c r="G49" s="1"/>
  <c r="F47"/>
  <c r="F49" s="1"/>
  <c r="E47"/>
  <c r="E49" s="1"/>
  <c r="D47"/>
  <c r="D49" s="1"/>
  <c r="C47"/>
  <c r="C49" s="1"/>
  <c r="B49"/>
  <c r="A27"/>
  <c r="B25"/>
  <c r="C25" i="5"/>
  <c r="C23"/>
  <c r="C15" s="1"/>
  <c r="C11"/>
  <c r="B11"/>
  <c r="D22" i="8"/>
  <c r="E18"/>
  <c r="D15"/>
  <c r="E12"/>
  <c r="D9"/>
  <c r="D8"/>
  <c r="B27"/>
  <c r="D27" s="1"/>
  <c r="B16" i="10"/>
  <c r="B15"/>
  <c r="A23"/>
  <c r="A34" i="5"/>
  <c r="A31"/>
  <c r="A27"/>
  <c r="B12"/>
  <c r="C7"/>
  <c r="C13" i="8"/>
  <c r="E13" s="1"/>
  <c r="C4"/>
  <c r="E4" s="1"/>
  <c r="A45" i="5"/>
  <c r="A46"/>
  <c r="A47"/>
  <c r="B4" i="8"/>
  <c r="B5" s="1"/>
  <c r="D5" s="1"/>
  <c r="A41"/>
  <c r="A40" s="1"/>
  <c r="A39" s="1"/>
  <c r="A38" s="1"/>
  <c r="A37" s="1"/>
  <c r="A36" s="1"/>
  <c r="A35" s="1"/>
  <c r="A34" s="1"/>
  <c r="A33" s="1"/>
  <c r="A32" s="1"/>
  <c r="A31" s="1"/>
  <c r="A30" s="1"/>
  <c r="A29" s="1"/>
  <c r="A28" s="1"/>
  <c r="A27" s="1"/>
  <c r="A26" s="1"/>
  <c r="A25" s="1"/>
  <c r="A24" s="1"/>
  <c r="A23" s="1"/>
  <c r="A22" s="1"/>
  <c r="A21" s="1"/>
  <c r="A20" s="1"/>
  <c r="A19" s="1"/>
  <c r="A18" s="1"/>
  <c r="A17" s="1"/>
  <c r="A16" s="1"/>
  <c r="A15" s="1"/>
  <c r="A14" s="1"/>
  <c r="A13" s="1"/>
  <c r="A12" s="1"/>
  <c r="A11" s="1"/>
  <c r="A10" s="1"/>
  <c r="A9" s="1"/>
  <c r="A8" s="1"/>
  <c r="A7" s="1"/>
  <c r="A6" s="1"/>
  <c r="A5" s="1"/>
  <c r="A4" s="1"/>
  <c r="A3" s="1"/>
  <c r="C3" i="5"/>
  <c r="C4"/>
  <c r="C10"/>
  <c r="B10" i="8"/>
  <c r="B11" s="1"/>
  <c r="D11" s="1"/>
  <c r="C14"/>
  <c r="E15" s="1"/>
  <c r="B16"/>
  <c r="D16" s="1"/>
  <c r="C19"/>
  <c r="E19" s="1"/>
  <c r="B17"/>
  <c r="D17" s="1"/>
  <c r="C20"/>
  <c r="E20" s="1"/>
  <c r="B18"/>
  <c r="D18" s="1"/>
  <c r="C21"/>
  <c r="E22" s="1"/>
  <c r="B19"/>
  <c r="B20" s="1"/>
  <c r="C23"/>
  <c r="E23" s="1"/>
  <c r="B23"/>
  <c r="B24" s="1"/>
  <c r="D24" s="1"/>
  <c r="B17" i="10" a="1"/>
  <c r="C21" i="5" a="1"/>
  <c r="D6" l="1"/>
  <c r="D18" s="1"/>
  <c r="B26"/>
  <c r="B16" s="1"/>
  <c r="B36" i="9"/>
  <c r="B38" s="1"/>
  <c r="D20" i="5"/>
  <c r="C16"/>
  <c r="D21" i="8"/>
  <c r="D20"/>
  <c r="D4"/>
  <c r="D10"/>
  <c r="D19"/>
  <c r="D23"/>
  <c r="C24"/>
  <c r="E24" s="1"/>
  <c r="E14"/>
  <c r="E21"/>
  <c r="B17" i="10"/>
  <c r="B15" i="5"/>
  <c r="B25" i="8"/>
  <c r="B28"/>
  <c r="D28" s="1"/>
  <c r="C27"/>
  <c r="E27" s="1"/>
  <c r="B12"/>
  <c r="D12" s="1"/>
  <c r="B6"/>
  <c r="C16"/>
  <c r="C5"/>
  <c r="E5" s="1"/>
  <c r="B17" i="9" l="1"/>
  <c r="B18" s="1"/>
  <c r="B21" i="5"/>
  <c r="D16"/>
  <c r="D19"/>
  <c r="D17" s="1"/>
  <c r="D21" s="1" a="1"/>
  <c r="E17" i="8"/>
  <c r="E16"/>
  <c r="D7"/>
  <c r="D6"/>
  <c r="D26"/>
  <c r="D25"/>
  <c r="C25"/>
  <c r="B29"/>
  <c r="D29" s="1"/>
  <c r="C28"/>
  <c r="E28" s="1"/>
  <c r="C6"/>
  <c r="E6" s="1"/>
  <c r="B13"/>
  <c r="D21" i="5" l="1"/>
  <c r="D14" i="8"/>
  <c r="D13"/>
  <c r="E26"/>
  <c r="E25"/>
  <c r="B30"/>
  <c r="D30" s="1"/>
  <c r="C29"/>
  <c r="E29" s="1"/>
  <c r="C7"/>
  <c r="E7" s="1"/>
  <c r="C30" l="1"/>
  <c r="E30" s="1"/>
  <c r="B31"/>
  <c r="D31" s="1"/>
  <c r="C8"/>
  <c r="E9" l="1"/>
  <c r="E8"/>
  <c r="C31"/>
  <c r="E31" s="1"/>
  <c r="B32"/>
  <c r="D32" s="1"/>
  <c r="C32" l="1"/>
  <c r="E32" s="1"/>
  <c r="B33"/>
  <c r="D33" s="1"/>
  <c r="C10"/>
  <c r="E11" l="1"/>
  <c r="E10"/>
  <c r="C33"/>
  <c r="E33" s="1"/>
  <c r="B34"/>
  <c r="D34" s="1"/>
  <c r="B35" l="1"/>
  <c r="D35" s="1"/>
  <c r="C34"/>
  <c r="E34" s="1"/>
  <c r="C35" l="1"/>
  <c r="E35" s="1"/>
  <c r="B36"/>
  <c r="D36" s="1"/>
  <c r="C36" l="1"/>
  <c r="E36" s="1"/>
  <c r="B37"/>
  <c r="D37" s="1"/>
  <c r="C37" l="1"/>
  <c r="E37" s="1"/>
  <c r="B38"/>
  <c r="D38" s="1"/>
  <c r="B39" l="1"/>
  <c r="D39" s="1"/>
  <c r="C38"/>
  <c r="E38" s="1"/>
  <c r="C39" l="1"/>
  <c r="E39" s="1"/>
  <c r="B40"/>
  <c r="D40" s="1"/>
  <c r="C40" l="1"/>
  <c r="E40" s="1"/>
  <c r="B41"/>
  <c r="D42" l="1"/>
  <c r="D41"/>
  <c r="C41"/>
  <c r="C21" i="5"/>
  <c r="E42" i="8" l="1"/>
  <c r="E41"/>
</calcChain>
</file>

<file path=xl/sharedStrings.xml><?xml version="1.0" encoding="utf-8"?>
<sst xmlns="http://schemas.openxmlformats.org/spreadsheetml/2006/main" count="224" uniqueCount="97">
  <si>
    <t>INPUT</t>
  </si>
  <si>
    <t>P</t>
  </si>
  <si>
    <t>K</t>
  </si>
  <si>
    <t>r</t>
  </si>
  <si>
    <t>OUTPUT</t>
  </si>
  <si>
    <t xml:space="preserve"> </t>
  </si>
  <si>
    <t>Stochastic P &amp; C</t>
  </si>
  <si>
    <t>C</t>
  </si>
  <si>
    <t>C*</t>
  </si>
  <si>
    <r>
      <t>Q</t>
    </r>
    <r>
      <rPr>
        <sz val="10"/>
        <rFont val="Symbol"/>
        <family val="1"/>
        <charset val="2"/>
      </rPr>
      <t>(b,h)</t>
    </r>
  </si>
  <si>
    <t>P*</t>
  </si>
  <si>
    <t>PART 1</t>
  </si>
  <si>
    <t>PART 2</t>
  </si>
  <si>
    <t>SUM</t>
  </si>
  <si>
    <r>
      <t>q</t>
    </r>
    <r>
      <rPr>
        <sz val="10"/>
        <rFont val="Rockwell"/>
        <family val="1"/>
      </rPr>
      <t>p</t>
    </r>
  </si>
  <si>
    <r>
      <t>q</t>
    </r>
    <r>
      <rPr>
        <sz val="10"/>
        <rFont val="Rockwell"/>
        <family val="1"/>
      </rPr>
      <t>c</t>
    </r>
  </si>
  <si>
    <t>SP</t>
  </si>
  <si>
    <t>PART 3</t>
  </si>
  <si>
    <t>SOLVER</t>
  </si>
  <si>
    <t>RAND</t>
  </si>
  <si>
    <t>FROM</t>
  </si>
  <si>
    <t>RETURN</t>
  </si>
  <si>
    <t>CORRELATION</t>
  </si>
  <si>
    <t>CURRENT</t>
  </si>
  <si>
    <t>American Aircraft Renewal Template</t>
  </si>
  <si>
    <t>Deterministic</t>
  </si>
  <si>
    <t>Stochastic P</t>
  </si>
  <si>
    <t>B11*B23+B12*B24-B10</t>
  </si>
  <si>
    <t>(C25/(C23*(C10-C11)))*(C23-1+((C3/C25)^C23))-C3/(C10-C11)+C5</t>
  </si>
  <si>
    <t>0.5*(D7^2)*D23*(D23-1)+0.5*(D8^2)*D24*(D24-1)+D9*D7*D8*D23*D24+D11*D23+D12*D24-D10</t>
  </si>
  <si>
    <t>D18*D19+D20</t>
  </si>
  <si>
    <t>-D3/(D10-D11)+D4/(D10-D12)+D5</t>
  </si>
  <si>
    <t>T*</t>
  </si>
  <si>
    <r>
      <t>Q</t>
    </r>
    <r>
      <rPr>
        <sz val="10"/>
        <rFont val="Symbol"/>
        <family val="1"/>
        <charset val="2"/>
      </rPr>
      <t>(b,h=0)</t>
    </r>
  </si>
  <si>
    <t>(0.5-B11/(B7^2))-SQRT((0.5-B11/(B7^2))^2+2*B10/(B7^2))-B19</t>
  </si>
  <si>
    <t>SET B17=0, CHANGING B19:B20.</t>
  </si>
  <si>
    <t>(1/B12)*LN(B6/B4)</t>
  </si>
  <si>
    <t>(B20/(B19*(B10-B11)))*(B19-1+((B3/B20)^B19))-B3/(B10-B11)+B5</t>
  </si>
  <si>
    <t>(0.5-C11/(C7^2))-SQRT((0.5-C11/(C7^2))^2+2*C10/(C7^2))</t>
  </si>
  <si>
    <t xml:space="preserve">  </t>
  </si>
  <si>
    <t>Quarter</t>
  </si>
  <si>
    <t>ILLUSTRATIVE</t>
  </si>
  <si>
    <t>STDEV()*SQRT(4)</t>
  </si>
  <si>
    <t>VOLATILITY</t>
  </si>
  <si>
    <t>ANNUALIZED DRIFT</t>
  </si>
  <si>
    <t>SET D21=0,CHANGING D23:D25.</t>
  </si>
  <si>
    <t>CORREL(   ,  )</t>
  </si>
  <si>
    <t>VM</t>
  </si>
  <si>
    <t>b</t>
  </si>
  <si>
    <t>h</t>
  </si>
  <si>
    <t>FUNAIR: REVENUE AND COSTS FOR TEN PLANES</t>
  </si>
  <si>
    <r>
      <t>P</t>
    </r>
    <r>
      <rPr>
        <vertAlign val="subscript"/>
        <sz val="10"/>
        <rFont val="Arial"/>
        <family val="2"/>
      </rPr>
      <t>I</t>
    </r>
  </si>
  <si>
    <r>
      <t>C</t>
    </r>
    <r>
      <rPr>
        <vertAlign val="subscript"/>
        <sz val="10"/>
        <rFont val="Arial"/>
        <family val="2"/>
      </rPr>
      <t>I</t>
    </r>
  </si>
  <si>
    <r>
      <t>s</t>
    </r>
    <r>
      <rPr>
        <vertAlign val="subscript"/>
        <sz val="10"/>
        <rFont val="Tahoma"/>
        <family val="2"/>
      </rPr>
      <t>P</t>
    </r>
  </si>
  <si>
    <r>
      <t>s</t>
    </r>
    <r>
      <rPr>
        <vertAlign val="subscript"/>
        <sz val="10"/>
        <rFont val="Tahoma"/>
        <family val="2"/>
      </rPr>
      <t>C</t>
    </r>
  </si>
  <si>
    <r>
      <t>q</t>
    </r>
    <r>
      <rPr>
        <vertAlign val="subscript"/>
        <sz val="10"/>
        <rFont val="Tahoma"/>
        <family val="2"/>
      </rPr>
      <t>P</t>
    </r>
  </si>
  <si>
    <r>
      <t>q</t>
    </r>
    <r>
      <rPr>
        <vertAlign val="subscript"/>
        <sz val="10"/>
        <rFont val="Tahoma"/>
        <family val="2"/>
      </rPr>
      <t>C</t>
    </r>
  </si>
  <si>
    <r>
      <t>T*</t>
    </r>
    <r>
      <rPr>
        <vertAlign val="subscript"/>
        <sz val="10"/>
        <rFont val="Arial"/>
        <family val="2"/>
      </rPr>
      <t>C</t>
    </r>
  </si>
  <si>
    <r>
      <t>T*</t>
    </r>
    <r>
      <rPr>
        <vertAlign val="subscript"/>
        <sz val="10"/>
        <rFont val="Arial"/>
        <family val="2"/>
      </rPr>
      <t>P</t>
    </r>
  </si>
  <si>
    <t>P*-C*</t>
  </si>
  <si>
    <t>P* VALUE</t>
  </si>
  <si>
    <t>C*VALUE</t>
  </si>
  <si>
    <t>Renewal V-K</t>
  </si>
  <si>
    <t>NPV=0</t>
  </si>
  <si>
    <t>B3/(B10-B11)-B4/(B10-B12)-B5</t>
  </si>
  <si>
    <t>ASSET DETERIORATION OVER THE YEARS</t>
  </si>
  <si>
    <t>YEARS</t>
  </si>
  <si>
    <t>P-C</t>
  </si>
  <si>
    <t xml:space="preserve">                           American Aircraft Renewal Template</t>
  </si>
  <si>
    <t>EQ 1</t>
  </si>
  <si>
    <t>EQ 2</t>
  </si>
  <si>
    <t>EQ 3</t>
  </si>
  <si>
    <t>EQ 4</t>
  </si>
  <si>
    <t>EQ 5</t>
  </si>
  <si>
    <t>EQ 6</t>
  </si>
  <si>
    <t>EQ 7</t>
  </si>
  <si>
    <t>EQ 8</t>
  </si>
  <si>
    <t>EQ 9</t>
  </si>
  <si>
    <t>$B$3*EXP($B$11*B46)</t>
  </si>
  <si>
    <t>$B$4*EXP($B$12*B46)</t>
  </si>
  <si>
    <t>4*AVERAGE()</t>
  </si>
  <si>
    <t>CUM DRIFT</t>
  </si>
  <si>
    <t>B11*B19+B12*B20-B10</t>
  </si>
  <si>
    <t>SET B18=0,CHANGING B19:B22,B23=B24</t>
  </si>
  <si>
    <t>(1/B12)*(LN(B22/B4))</t>
  </si>
  <si>
    <t>(1/B11)*(LN(B21/B3))</t>
  </si>
  <si>
    <t>B21*((1/B10)+(B11/B10)*(EXP(-B10*B24)/(B10-B11)))</t>
  </si>
  <si>
    <t>B35-B36-B37</t>
  </si>
  <si>
    <t>D25*D24*(D10-D12)-D6*D23*(D10-D11)</t>
  </si>
  <si>
    <t>D25/(-D23*(D10-D11))</t>
  </si>
  <si>
    <t>(-D23-D24-(1-(((D3^D23)*(D4^D24))/((D25^D23)*(D6^D24)))))</t>
  </si>
  <si>
    <t>((B3/B21)^B19)*((B4/B22)^B20)-EXP(-B10*B23)</t>
  </si>
  <si>
    <t>((B3/B25)^B23)*((B4/B6)^B24)-EXP(-B10*B26)</t>
  </si>
  <si>
    <t>B21*(((1+B11)/B10)*(EXP(-B10*B24)/(B10-B11)))</t>
  </si>
  <si>
    <t>B22*(((1+B12)/B10)*(EXP(-B10*B24)/(B10-B12)))</t>
  </si>
  <si>
    <t>LN(B42/$B$3)/(($A$3+1-A42)/4)</t>
  </si>
  <si>
    <t>LN(C42/$C$3)/(($A$3+1-A42)/4)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</si>
</sst>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3">
    <font>
      <sz val="10"/>
      <name val="Arial"/>
    </font>
    <font>
      <b/>
      <sz val="12"/>
      <name val="Arial"/>
      <family val="2"/>
    </font>
    <font>
      <sz val="10"/>
      <name val="Symbol"/>
      <family val="1"/>
      <charset val="2"/>
    </font>
    <font>
      <sz val="10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10"/>
      <name val="Rockwell"/>
      <family val="1"/>
    </font>
    <font>
      <b/>
      <sz val="10"/>
      <name val="Arial"/>
      <family val="2"/>
    </font>
    <font>
      <sz val="7"/>
      <name val="Arial"/>
      <family val="2"/>
    </font>
    <font>
      <vertAlign val="subscript"/>
      <sz val="10"/>
      <name val="Arial"/>
      <family val="2"/>
    </font>
    <font>
      <vertAlign val="subscript"/>
      <sz val="10"/>
      <name val="Tahoma"/>
      <family val="2"/>
    </font>
    <font>
      <sz val="9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Continuous"/>
    </xf>
    <xf numFmtId="2" fontId="0" fillId="0" borderId="0" xfId="0" applyNumberFormat="1"/>
    <xf numFmtId="0" fontId="2" fillId="0" borderId="0" xfId="0" applyFont="1"/>
    <xf numFmtId="0" fontId="3" fillId="0" borderId="0" xfId="0" applyFont="1"/>
    <xf numFmtId="165" fontId="0" fillId="0" borderId="0" xfId="0" applyNumberFormat="1"/>
    <xf numFmtId="0" fontId="6" fillId="0" borderId="0" xfId="0" applyFont="1"/>
    <xf numFmtId="0" fontId="5" fillId="0" borderId="0" xfId="0" applyFont="1"/>
    <xf numFmtId="2" fontId="5" fillId="0" borderId="0" xfId="0" applyNumberFormat="1" applyFont="1"/>
    <xf numFmtId="165" fontId="5" fillId="0" borderId="0" xfId="0" applyNumberFormat="1" applyFont="1"/>
    <xf numFmtId="2" fontId="5" fillId="0" borderId="0" xfId="0" quotePrefix="1" applyNumberFormat="1" applyFont="1"/>
    <xf numFmtId="164" fontId="5" fillId="0" borderId="0" xfId="0" applyNumberFormat="1" applyFont="1"/>
    <xf numFmtId="10" fontId="0" fillId="0" borderId="0" xfId="0" applyNumberFormat="1"/>
    <xf numFmtId="0" fontId="4" fillId="0" borderId="0" xfId="0" applyFont="1"/>
    <xf numFmtId="164" fontId="0" fillId="0" borderId="0" xfId="0" applyNumberFormat="1"/>
    <xf numFmtId="0" fontId="7" fillId="0" borderId="0" xfId="0" applyFont="1" applyAlignment="1">
      <alignment horizontal="center"/>
    </xf>
    <xf numFmtId="164" fontId="0" fillId="0" borderId="1" xfId="0" applyNumberFormat="1" applyBorder="1"/>
    <xf numFmtId="165" fontId="0" fillId="0" borderId="0" xfId="0" applyNumberFormat="1" applyFont="1"/>
    <xf numFmtId="165" fontId="4" fillId="0" borderId="0" xfId="0" applyNumberFormat="1" applyFont="1"/>
    <xf numFmtId="10" fontId="8" fillId="0" borderId="0" xfId="0" applyNumberFormat="1" applyFont="1"/>
    <xf numFmtId="10" fontId="4" fillId="0" borderId="0" xfId="0" applyNumberFormat="1" applyFont="1"/>
    <xf numFmtId="164" fontId="7" fillId="0" borderId="0" xfId="0" applyNumberFormat="1" applyFont="1"/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2" fontId="7" fillId="0" borderId="0" xfId="0" applyNumberFormat="1" applyFont="1"/>
    <xf numFmtId="10" fontId="11" fillId="0" borderId="0" xfId="0" applyNumberFormat="1" applyFont="1" applyAlignment="1">
      <alignment horizontal="center"/>
    </xf>
    <xf numFmtId="2" fontId="4" fillId="0" borderId="0" xfId="0" applyNumberFormat="1" applyFont="1"/>
    <xf numFmtId="0" fontId="2" fillId="0" borderId="0" xfId="0" applyFont="1" applyAlignment="1">
      <alignment horizontal="center"/>
    </xf>
    <xf numFmtId="165" fontId="12" fillId="0" borderId="0" xfId="0" applyNumberFormat="1" applyFont="1"/>
    <xf numFmtId="10" fontId="5" fillId="0" borderId="0" xfId="0" applyNumberFormat="1" applyFont="1"/>
    <xf numFmtId="10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9"/>
  <sheetViews>
    <sheetView tabSelected="1" workbookViewId="0">
      <selection sqref="A1:G47"/>
    </sheetView>
  </sheetViews>
  <sheetFormatPr defaultRowHeight="12.75"/>
  <cols>
    <col min="4" max="4" width="12" customWidth="1"/>
    <col min="5" max="5" width="12" bestFit="1" customWidth="1"/>
    <col min="6" max="19" width="10.7109375" customWidth="1"/>
  </cols>
  <sheetData>
    <row r="1" spans="1:28">
      <c r="A1" s="22" t="s">
        <v>50</v>
      </c>
      <c r="B1" s="22"/>
      <c r="C1" s="22"/>
      <c r="D1" s="22"/>
      <c r="E1" s="22"/>
      <c r="F1" s="28"/>
      <c r="G1" s="28"/>
    </row>
    <row r="2" spans="1:28">
      <c r="A2" s="23" t="s">
        <v>40</v>
      </c>
      <c r="B2" s="23" t="s">
        <v>1</v>
      </c>
      <c r="C2" s="23" t="s">
        <v>7</v>
      </c>
      <c r="D2" s="27" t="s">
        <v>21</v>
      </c>
      <c r="E2" s="28"/>
      <c r="F2" s="27" t="s">
        <v>81</v>
      </c>
      <c r="G2" s="28"/>
      <c r="T2" s="7" t="s">
        <v>20</v>
      </c>
      <c r="V2" s="7"/>
      <c r="W2" s="7"/>
      <c r="X2" s="7"/>
      <c r="Y2" s="7"/>
      <c r="AB2" s="7"/>
    </row>
    <row r="3" spans="1:28" ht="14.25">
      <c r="A3" s="24">
        <f t="shared" ref="A3:A18" si="0">A4+1</f>
        <v>40</v>
      </c>
      <c r="B3" s="24">
        <v>80</v>
      </c>
      <c r="C3" s="24">
        <v>20</v>
      </c>
      <c r="D3" s="23" t="s">
        <v>1</v>
      </c>
      <c r="E3" s="23" t="s">
        <v>7</v>
      </c>
      <c r="F3" s="32" t="s">
        <v>55</v>
      </c>
      <c r="G3" s="32" t="s">
        <v>56</v>
      </c>
      <c r="T3" s="7" t="s">
        <v>19</v>
      </c>
      <c r="V3" s="7"/>
      <c r="W3" s="7"/>
      <c r="X3" s="7"/>
      <c r="Y3" s="7"/>
      <c r="AB3" s="7"/>
    </row>
    <row r="4" spans="1:28">
      <c r="A4" s="24">
        <f t="shared" si="0"/>
        <v>39</v>
      </c>
      <c r="B4" s="25">
        <f>B3*(1-T4/100)</f>
        <v>79.785510160617449</v>
      </c>
      <c r="C4" s="25">
        <f>C3*(1+T4/50)</f>
        <v>20.107244919691279</v>
      </c>
      <c r="D4" s="26">
        <f>LN(B4/B3)</f>
        <v>-2.6847236398243306E-3</v>
      </c>
      <c r="E4" s="26">
        <f>LN(C4/C3)</f>
        <v>5.3479203325255513E-3</v>
      </c>
      <c r="T4" s="5">
        <v>0.26811229922819457</v>
      </c>
      <c r="V4" s="7"/>
      <c r="W4" s="7"/>
      <c r="X4" s="7"/>
      <c r="Y4" s="7"/>
      <c r="AB4" s="7"/>
    </row>
    <row r="5" spans="1:28">
      <c r="A5" s="24">
        <f t="shared" si="0"/>
        <v>38</v>
      </c>
      <c r="B5" s="25">
        <f>B4*(1-T5/100)</f>
        <v>80.204539832719163</v>
      </c>
      <c r="C5" s="25">
        <f>C4*(1+T5/50)</f>
        <v>19.896040348119186</v>
      </c>
      <c r="D5" s="26">
        <f t="shared" ref="D5:D42" si="1">LN(B5/B4)</f>
        <v>5.2382086293372397E-3</v>
      </c>
      <c r="E5" s="26">
        <f t="shared" ref="E5:E42" si="2">LN(C5/C4)</f>
        <v>-1.0559459436163187E-2</v>
      </c>
      <c r="T5" s="5">
        <v>-0.52519520306150502</v>
      </c>
      <c r="V5" s="7"/>
      <c r="W5" s="7"/>
      <c r="X5" s="7"/>
      <c r="Y5" s="7"/>
      <c r="AB5" s="7"/>
    </row>
    <row r="6" spans="1:28">
      <c r="A6" s="24">
        <f t="shared" si="0"/>
        <v>37</v>
      </c>
      <c r="B6" s="25">
        <f>B5*(1-T6/100)</f>
        <v>79.985525772686913</v>
      </c>
      <c r="C6" s="25">
        <f>C5*(1+T6/50)</f>
        <v>20.004700346276284</v>
      </c>
      <c r="D6" s="26">
        <f t="shared" si="1"/>
        <v>-2.7344292003427554E-3</v>
      </c>
      <c r="E6" s="26">
        <f t="shared" si="2"/>
        <v>5.4465288052090036E-3</v>
      </c>
      <c r="T6" s="5">
        <v>0.27306940540901592</v>
      </c>
      <c r="V6" s="7"/>
      <c r="W6" s="7"/>
      <c r="X6" s="7"/>
      <c r="Y6" s="7"/>
      <c r="AB6" s="7"/>
    </row>
    <row r="7" spans="1:28">
      <c r="A7" s="24">
        <f t="shared" si="0"/>
        <v>36</v>
      </c>
      <c r="B7" s="25">
        <v>74</v>
      </c>
      <c r="C7" s="25">
        <f>C6*(1+T7/50)</f>
        <v>20.223755356543904</v>
      </c>
      <c r="D7" s="26">
        <f t="shared" si="1"/>
        <v>-7.7780597258881895E-2</v>
      </c>
      <c r="E7" s="26">
        <f t="shared" si="2"/>
        <v>1.0890657945840801E-2</v>
      </c>
      <c r="F7" s="7" t="s">
        <v>5</v>
      </c>
      <c r="G7" s="7" t="s">
        <v>5</v>
      </c>
      <c r="T7" s="5">
        <v>0.54750885160945906</v>
      </c>
      <c r="V7" s="7"/>
      <c r="W7" s="7"/>
      <c r="X7" s="7"/>
      <c r="Y7" s="7"/>
      <c r="AB7" s="7"/>
    </row>
    <row r="8" spans="1:28">
      <c r="A8" s="24">
        <f t="shared" si="0"/>
        <v>35</v>
      </c>
      <c r="B8" s="25">
        <v>79</v>
      </c>
      <c r="C8" s="25">
        <f>C7*(1+T8/50)</f>
        <v>20.050368259173247</v>
      </c>
      <c r="D8" s="26">
        <f t="shared" si="1"/>
        <v>6.5382759262851711E-2</v>
      </c>
      <c r="E8" s="26">
        <f t="shared" si="2"/>
        <v>-8.6104005764373361E-3</v>
      </c>
      <c r="T8" s="5">
        <v>-0.42867186215876202</v>
      </c>
      <c r="V8" s="7"/>
      <c r="W8" s="7"/>
      <c r="X8" s="7"/>
      <c r="Y8" s="7"/>
      <c r="AB8" s="7"/>
    </row>
    <row r="9" spans="1:28">
      <c r="A9" s="24">
        <f t="shared" si="0"/>
        <v>34</v>
      </c>
      <c r="B9" s="25">
        <v>76</v>
      </c>
      <c r="C9" s="25">
        <v>22</v>
      </c>
      <c r="D9" s="26">
        <f t="shared" si="1"/>
        <v>-3.8714512180690393E-2</v>
      </c>
      <c r="E9" s="26">
        <f t="shared" si="2"/>
        <v>9.2794932733350072E-2</v>
      </c>
      <c r="T9" s="5">
        <v>0.62503915985129788</v>
      </c>
      <c r="V9" s="7"/>
      <c r="W9" s="7"/>
      <c r="X9" s="7"/>
      <c r="Y9" s="7"/>
      <c r="AB9" s="7"/>
    </row>
    <row r="10" spans="1:28">
      <c r="A10" s="24">
        <f t="shared" si="0"/>
        <v>33</v>
      </c>
      <c r="B10" s="25">
        <f>B9*(1-T10/100)</f>
        <v>75.848741245660221</v>
      </c>
      <c r="C10" s="25">
        <f>C9*(1+T10/50)</f>
        <v>22.087570857775663</v>
      </c>
      <c r="D10" s="26">
        <f t="shared" si="1"/>
        <v>-1.9922299404992179E-3</v>
      </c>
      <c r="E10" s="26">
        <f t="shared" si="2"/>
        <v>3.9725923310532478E-3</v>
      </c>
      <c r="T10" s="5">
        <v>0.19902467676286961</v>
      </c>
      <c r="V10" s="7"/>
      <c r="W10" s="7"/>
      <c r="X10" s="7"/>
      <c r="Y10" s="7"/>
      <c r="AB10" s="7"/>
    </row>
    <row r="11" spans="1:28">
      <c r="A11" s="24">
        <f t="shared" si="0"/>
        <v>32</v>
      </c>
      <c r="B11" s="25">
        <f>B10*(1-T11/100)</f>
        <v>76.201623871114009</v>
      </c>
      <c r="C11" s="25">
        <v>23</v>
      </c>
      <c r="D11" s="26">
        <f t="shared" si="1"/>
        <v>4.6416627642409131E-3</v>
      </c>
      <c r="E11" s="26">
        <f t="shared" si="2"/>
        <v>4.0479170239780683E-2</v>
      </c>
      <c r="T11" s="5">
        <v>-0.46524519676715798</v>
      </c>
      <c r="V11" s="7"/>
      <c r="W11" s="7"/>
      <c r="X11" s="7"/>
      <c r="Y11" s="7"/>
      <c r="AB11" s="7"/>
    </row>
    <row r="12" spans="1:28">
      <c r="A12" s="24">
        <f t="shared" si="0"/>
        <v>31</v>
      </c>
      <c r="B12" s="25">
        <f>B11*(1-T12/100)</f>
        <v>75.567694656145733</v>
      </c>
      <c r="C12" s="25">
        <v>20</v>
      </c>
      <c r="D12" s="26">
        <f t="shared" si="1"/>
        <v>-8.353900614674413E-3</v>
      </c>
      <c r="E12" s="26">
        <f t="shared" si="2"/>
        <v>-0.13976194237515874</v>
      </c>
      <c r="T12" s="5">
        <v>0.83191037508661037</v>
      </c>
      <c r="V12" s="7"/>
      <c r="W12" s="7"/>
      <c r="X12" s="7"/>
      <c r="Y12" s="7"/>
      <c r="AB12" s="7"/>
    </row>
    <row r="13" spans="1:28">
      <c r="A13" s="24">
        <f t="shared" si="0"/>
        <v>30</v>
      </c>
      <c r="B13" s="25">
        <f>B12*(1-T13/100)</f>
        <v>75.548513999712796</v>
      </c>
      <c r="C13" s="25">
        <f>C12*(1+T13/50)</f>
        <v>20.010152833969705</v>
      </c>
      <c r="D13" s="26">
        <f t="shared" si="1"/>
        <v>-2.5385306720634515E-4</v>
      </c>
      <c r="E13" s="26">
        <f t="shared" si="2"/>
        <v>5.075128920280944E-4</v>
      </c>
      <c r="T13" s="5">
        <v>2.5382084924262749E-2</v>
      </c>
      <c r="V13" s="7"/>
      <c r="W13" s="7"/>
      <c r="X13" s="7"/>
      <c r="Y13" s="7"/>
      <c r="AB13" s="7"/>
    </row>
    <row r="14" spans="1:28">
      <c r="A14" s="24">
        <f t="shared" si="0"/>
        <v>29</v>
      </c>
      <c r="B14" s="25">
        <v>70</v>
      </c>
      <c r="C14" s="25">
        <f>C13*(1+T14/50)</f>
        <v>20.141666558478281</v>
      </c>
      <c r="D14" s="26">
        <f t="shared" si="1"/>
        <v>-7.627977737883318E-2</v>
      </c>
      <c r="E14" s="26">
        <f t="shared" si="2"/>
        <v>6.5508461040457988E-3</v>
      </c>
      <c r="T14" s="5">
        <v>0.3286174913299813</v>
      </c>
      <c r="V14" s="7"/>
      <c r="W14" s="7"/>
      <c r="X14" s="7"/>
      <c r="Y14" s="7"/>
      <c r="AB14" s="7"/>
    </row>
    <row r="15" spans="1:28">
      <c r="A15" s="24">
        <f t="shared" si="0"/>
        <v>28</v>
      </c>
      <c r="B15" s="25">
        <v>68</v>
      </c>
      <c r="C15" s="25">
        <v>24</v>
      </c>
      <c r="D15" s="26">
        <f t="shared" si="1"/>
        <v>-2.8987536873252298E-2</v>
      </c>
      <c r="E15" s="26">
        <f t="shared" si="2"/>
        <v>0.1752631977978806</v>
      </c>
      <c r="T15" s="5">
        <v>0.4954289808806891</v>
      </c>
      <c r="V15" s="7"/>
      <c r="W15" s="7"/>
      <c r="X15" s="7"/>
      <c r="Y15" s="7"/>
      <c r="AB15" s="7"/>
    </row>
    <row r="16" spans="1:28">
      <c r="A16" s="24">
        <f t="shared" si="0"/>
        <v>27</v>
      </c>
      <c r="B16" s="25">
        <f>B15*(1-T16/100)</f>
        <v>68.455852462477878</v>
      </c>
      <c r="C16" s="25">
        <f>C15*(1+T16/50)</f>
        <v>23.678221791192087</v>
      </c>
      <c r="D16" s="26">
        <f t="shared" si="1"/>
        <v>6.6813427205118471E-3</v>
      </c>
      <c r="E16" s="26">
        <f t="shared" si="2"/>
        <v>-1.3498116429143163E-2</v>
      </c>
      <c r="T16" s="5">
        <v>-0.67037126834981497</v>
      </c>
      <c r="V16" s="7"/>
      <c r="W16" s="7"/>
      <c r="X16" s="7"/>
      <c r="Y16" s="7"/>
      <c r="AB16" s="7"/>
    </row>
    <row r="17" spans="1:28">
      <c r="A17" s="24">
        <f t="shared" si="0"/>
        <v>26</v>
      </c>
      <c r="B17" s="25">
        <f>B16*(1-T17/100)</f>
        <v>67.979036381962928</v>
      </c>
      <c r="C17" s="25">
        <v>23</v>
      </c>
      <c r="D17" s="26">
        <f t="shared" si="1"/>
        <v>-6.989678751725883E-3</v>
      </c>
      <c r="E17" s="26">
        <f t="shared" si="2"/>
        <v>-2.9061497989652779E-2</v>
      </c>
      <c r="T17" s="5">
        <v>0.69653077620544779</v>
      </c>
      <c r="V17" s="7"/>
      <c r="W17" s="7"/>
      <c r="X17" s="7"/>
      <c r="Y17" s="7"/>
      <c r="AB17" s="7"/>
    </row>
    <row r="18" spans="1:28">
      <c r="A18" s="24">
        <f t="shared" si="0"/>
        <v>25</v>
      </c>
      <c r="B18" s="25">
        <f>B17*(1-T18/100)</f>
        <v>67.947154241852004</v>
      </c>
      <c r="C18" s="25">
        <v>20</v>
      </c>
      <c r="D18" s="26">
        <f t="shared" si="1"/>
        <v>-4.6910960351759061E-4</v>
      </c>
      <c r="E18" s="26">
        <f t="shared" si="2"/>
        <v>-0.13976194237515874</v>
      </c>
      <c r="T18" s="5">
        <v>4.6899958881118087E-2</v>
      </c>
      <c r="V18" s="7"/>
      <c r="W18" s="7"/>
      <c r="X18" s="7"/>
      <c r="Y18" s="7"/>
      <c r="AB18" s="7"/>
    </row>
    <row r="19" spans="1:28">
      <c r="A19" s="24">
        <f t="shared" ref="A19:A40" si="3">A20+1</f>
        <v>24</v>
      </c>
      <c r="B19" s="25">
        <f>B18*(1-T19/100)</f>
        <v>67.892546759607683</v>
      </c>
      <c r="C19" s="25">
        <f>C18*(1+T19/50)</f>
        <v>20.032147031235453</v>
      </c>
      <c r="D19" s="26">
        <f t="shared" si="1"/>
        <v>-8.0399890140099399E-4</v>
      </c>
      <c r="E19" s="26">
        <f t="shared" si="2"/>
        <v>1.6060611548245113E-3</v>
      </c>
      <c r="T19" s="5">
        <v>8.0367578088632818E-2</v>
      </c>
      <c r="Y19" s="7"/>
      <c r="Z19" s="7"/>
      <c r="AB19" s="7"/>
    </row>
    <row r="20" spans="1:28">
      <c r="A20" s="24">
        <f t="shared" si="3"/>
        <v>23</v>
      </c>
      <c r="B20" s="25">
        <f>B19*(1-T20/100)</f>
        <v>67.592035442472962</v>
      </c>
      <c r="C20" s="25">
        <f>C19*(1+T20/50)</f>
        <v>20.209482752951946</v>
      </c>
      <c r="D20" s="26">
        <f t="shared" si="1"/>
        <v>-4.4361034305762017E-3</v>
      </c>
      <c r="E20" s="26">
        <f t="shared" si="2"/>
        <v>8.8136027597929736E-3</v>
      </c>
      <c r="T20" s="5">
        <v>0.44262784573210867</v>
      </c>
      <c r="W20" s="2"/>
      <c r="X20" s="2"/>
      <c r="Y20" s="5"/>
      <c r="Z20" s="5"/>
      <c r="AB20" s="5"/>
    </row>
    <row r="21" spans="1:28">
      <c r="A21" s="24">
        <f t="shared" si="3"/>
        <v>22</v>
      </c>
      <c r="B21" s="25">
        <v>70</v>
      </c>
      <c r="C21" s="25">
        <f>C20*(1+T21/50)</f>
        <v>20.531044813772002</v>
      </c>
      <c r="D21" s="26">
        <f t="shared" si="1"/>
        <v>3.5005084839961086E-2</v>
      </c>
      <c r="E21" s="26">
        <f t="shared" si="2"/>
        <v>1.5786184316571274E-2</v>
      </c>
      <c r="T21" s="5">
        <v>0.79557221911849174</v>
      </c>
      <c r="W21" s="2"/>
      <c r="X21" s="2"/>
      <c r="Y21" s="5"/>
      <c r="Z21" s="5"/>
      <c r="AB21" s="5"/>
    </row>
    <row r="22" spans="1:28">
      <c r="A22" s="24">
        <f t="shared" si="3"/>
        <v>21</v>
      </c>
      <c r="B22" s="25">
        <v>67</v>
      </c>
      <c r="C22" s="25">
        <v>25</v>
      </c>
      <c r="D22" s="26">
        <f t="shared" si="1"/>
        <v>-4.3802622658392888E-2</v>
      </c>
      <c r="E22" s="26">
        <f t="shared" si="2"/>
        <v>0.19693770308302117</v>
      </c>
      <c r="T22" s="5">
        <v>-0.91520540074246703</v>
      </c>
      <c r="W22" s="2"/>
      <c r="X22" s="2"/>
      <c r="Y22" s="5"/>
      <c r="Z22" s="5"/>
      <c r="AB22" s="5"/>
    </row>
    <row r="23" spans="1:28">
      <c r="A23" s="24">
        <f t="shared" si="3"/>
        <v>20</v>
      </c>
      <c r="B23" s="25">
        <f>B22*(1-T23/100)</f>
        <v>66.534545806997116</v>
      </c>
      <c r="C23" s="25">
        <f>C22*(1+T23/50)</f>
        <v>25.34735387537529</v>
      </c>
      <c r="D23" s="26">
        <f t="shared" si="1"/>
        <v>-6.9713207956982491E-3</v>
      </c>
      <c r="E23" s="26">
        <f t="shared" si="2"/>
        <v>1.379851610625578E-2</v>
      </c>
      <c r="T23" s="5">
        <v>0.69470775075057678</v>
      </c>
      <c r="W23" s="2"/>
      <c r="X23" s="2"/>
      <c r="Y23" s="5"/>
      <c r="Z23" s="5"/>
      <c r="AB23" s="5"/>
    </row>
    <row r="24" spans="1:28">
      <c r="A24" s="24">
        <f t="shared" si="3"/>
        <v>19</v>
      </c>
      <c r="B24" s="25">
        <f>B23*(1-T24/100)</f>
        <v>66.180915812919395</v>
      </c>
      <c r="C24" s="25">
        <f>C23*(1+T24/50)</f>
        <v>25.616795396080526</v>
      </c>
      <c r="D24" s="26">
        <f t="shared" si="1"/>
        <v>-5.3291579848050007E-3</v>
      </c>
      <c r="E24" s="26">
        <f t="shared" si="2"/>
        <v>1.0573865550512741E-2</v>
      </c>
      <c r="T24" s="5">
        <v>0.53149832134350117</v>
      </c>
      <c r="W24" s="2"/>
      <c r="X24" s="2"/>
      <c r="Y24" s="5"/>
      <c r="Z24" s="5"/>
      <c r="AB24" s="5"/>
    </row>
    <row r="25" spans="1:28">
      <c r="A25" s="24">
        <f t="shared" si="3"/>
        <v>18</v>
      </c>
      <c r="B25" s="25">
        <f>B24*(1-T25/100)</f>
        <v>65.672683558359083</v>
      </c>
      <c r="C25" s="25">
        <f>C24*(1+T25/50)</f>
        <v>26.010240591537269</v>
      </c>
      <c r="D25" s="26">
        <f t="shared" si="1"/>
        <v>-7.7090769458834675E-3</v>
      </c>
      <c r="E25" s="26">
        <f t="shared" si="2"/>
        <v>1.5242122855796285E-2</v>
      </c>
      <c r="T25" s="5">
        <v>0.76794382235051017</v>
      </c>
      <c r="W25" s="2"/>
      <c r="X25" s="2"/>
      <c r="Y25" s="5"/>
      <c r="Z25" s="5"/>
      <c r="AB25" s="5"/>
    </row>
    <row r="26" spans="1:28">
      <c r="A26" s="24">
        <f t="shared" si="3"/>
        <v>17</v>
      </c>
      <c r="B26" s="25">
        <v>63</v>
      </c>
      <c r="C26" s="25">
        <v>28</v>
      </c>
      <c r="D26" s="26">
        <f t="shared" si="1"/>
        <v>-4.1548337273046722E-2</v>
      </c>
      <c r="E26" s="26">
        <f t="shared" si="2"/>
        <v>7.3714180794438283E-2</v>
      </c>
      <c r="W26" s="2"/>
      <c r="X26" s="2"/>
      <c r="Y26" s="5"/>
      <c r="Z26" s="5"/>
      <c r="AB26" s="5"/>
    </row>
    <row r="27" spans="1:28">
      <c r="A27" s="24">
        <f t="shared" si="3"/>
        <v>16</v>
      </c>
      <c r="B27" s="25">
        <f t="shared" ref="B27:B41" si="4">B26*(1-T27/100)</f>
        <v>62.831089251486233</v>
      </c>
      <c r="C27" s="25">
        <f t="shared" ref="C27:C41" si="5">C26*(1+T27/50)</f>
        <v>28.150142887567789</v>
      </c>
      <c r="D27" s="26">
        <f t="shared" si="1"/>
        <v>-2.6847236398244417E-3</v>
      </c>
      <c r="E27" s="26">
        <f t="shared" si="2"/>
        <v>5.3479203325255513E-3</v>
      </c>
      <c r="T27" s="5">
        <v>0.26811229922819457</v>
      </c>
      <c r="W27" s="2"/>
      <c r="X27" s="2"/>
      <c r="Y27" s="5"/>
      <c r="Z27" s="5"/>
      <c r="AB27" s="5"/>
    </row>
    <row r="28" spans="1:28">
      <c r="A28" s="24">
        <f t="shared" si="3"/>
        <v>15</v>
      </c>
      <c r="B28" s="25">
        <f t="shared" si="4"/>
        <v>63.161075118266339</v>
      </c>
      <c r="C28" s="25">
        <f t="shared" si="5"/>
        <v>27.854456487366857</v>
      </c>
      <c r="D28" s="26">
        <f t="shared" si="1"/>
        <v>5.2382086293372397E-3</v>
      </c>
      <c r="E28" s="26">
        <f t="shared" si="2"/>
        <v>-1.05594594361633E-2</v>
      </c>
      <c r="T28" s="5">
        <v>-0.52519520306150502</v>
      </c>
      <c r="W28" s="2"/>
      <c r="X28" s="2"/>
      <c r="Y28" s="5"/>
      <c r="Z28" s="5"/>
      <c r="AB28" s="5"/>
    </row>
    <row r="29" spans="1:28">
      <c r="A29" s="24">
        <f t="shared" si="3"/>
        <v>14</v>
      </c>
      <c r="B29" s="25">
        <f t="shared" si="4"/>
        <v>62.988601545990946</v>
      </c>
      <c r="C29" s="25">
        <f t="shared" si="5"/>
        <v>28.006580484786792</v>
      </c>
      <c r="D29" s="26">
        <f t="shared" si="1"/>
        <v>-2.7344292003427554E-3</v>
      </c>
      <c r="E29" s="26">
        <f t="shared" si="2"/>
        <v>5.4465288052090036E-3</v>
      </c>
      <c r="T29" s="5">
        <v>0.27306940540901592</v>
      </c>
      <c r="W29" s="2"/>
      <c r="X29" s="2"/>
      <c r="Y29" s="5"/>
      <c r="Z29" s="5"/>
      <c r="AB29" s="5"/>
    </row>
    <row r="30" spans="1:28">
      <c r="A30" s="24">
        <f t="shared" si="3"/>
        <v>13</v>
      </c>
      <c r="B30" s="25">
        <f t="shared" si="4"/>
        <v>62.643733377021633</v>
      </c>
      <c r="C30" s="25">
        <f t="shared" si="5"/>
        <v>28.313257499161459</v>
      </c>
      <c r="D30" s="26">
        <f t="shared" si="1"/>
        <v>-5.4901317470306419E-3</v>
      </c>
      <c r="E30" s="26">
        <f t="shared" si="2"/>
        <v>1.0890657945840801E-2</v>
      </c>
      <c r="T30" s="5">
        <v>0.54750885160945906</v>
      </c>
      <c r="W30" s="2"/>
      <c r="X30" s="2"/>
      <c r="Y30" s="5"/>
      <c r="Z30" s="5"/>
      <c r="AB30" s="5"/>
    </row>
    <row r="31" spans="1:28">
      <c r="A31" s="24">
        <f t="shared" si="3"/>
        <v>12</v>
      </c>
      <c r="B31" s="25">
        <f t="shared" si="4"/>
        <v>62.912269435414679</v>
      </c>
      <c r="C31" s="25">
        <f t="shared" si="5"/>
        <v>28.070515562842537</v>
      </c>
      <c r="D31" s="26">
        <f t="shared" si="1"/>
        <v>4.2775568167051419E-3</v>
      </c>
      <c r="E31" s="26">
        <f t="shared" si="2"/>
        <v>-8.6104005764374488E-3</v>
      </c>
      <c r="T31" s="5">
        <v>-0.42867186215876202</v>
      </c>
      <c r="W31" s="2"/>
      <c r="X31" s="2"/>
      <c r="Y31" s="5"/>
      <c r="Z31" s="5"/>
      <c r="AB31" s="5"/>
    </row>
    <row r="32" spans="1:28">
      <c r="A32" s="24">
        <f t="shared" si="3"/>
        <v>11</v>
      </c>
      <c r="B32" s="25">
        <f t="shared" si="4"/>
        <v>62.519043115092181</v>
      </c>
      <c r="C32" s="25">
        <f t="shared" si="5"/>
        <v>28.421418992122373</v>
      </c>
      <c r="D32" s="26">
        <f t="shared" si="1"/>
        <v>-6.2700070750696954E-3</v>
      </c>
      <c r="E32" s="26">
        <f t="shared" si="2"/>
        <v>1.2423293526184752E-2</v>
      </c>
      <c r="T32" s="5">
        <v>0.62503915985129788</v>
      </c>
      <c r="W32" s="2"/>
      <c r="X32" s="2"/>
      <c r="Y32" s="5"/>
      <c r="Z32" s="5"/>
      <c r="AB32" s="5"/>
    </row>
    <row r="33" spans="1:28">
      <c r="A33" s="24">
        <f t="shared" si="3"/>
        <v>10</v>
      </c>
      <c r="B33" s="25">
        <f t="shared" si="4"/>
        <v>62.39461479161713</v>
      </c>
      <c r="C33" s="25">
        <f t="shared" si="5"/>
        <v>28.534550266683357</v>
      </c>
      <c r="D33" s="26">
        <f t="shared" si="1"/>
        <v>-1.9922299404992179E-3</v>
      </c>
      <c r="E33" s="26">
        <f t="shared" si="2"/>
        <v>3.9725923310532478E-3</v>
      </c>
      <c r="T33" s="5">
        <v>0.19902467676286961</v>
      </c>
      <c r="W33" s="2"/>
      <c r="X33" s="2"/>
      <c r="Y33" s="5"/>
      <c r="Z33" s="5"/>
      <c r="AB33" s="5"/>
    </row>
    <row r="34" spans="1:28">
      <c r="A34" s="24">
        <f t="shared" si="3"/>
        <v>9</v>
      </c>
      <c r="B34" s="25">
        <f t="shared" si="4"/>
        <v>62.684902739976501</v>
      </c>
      <c r="C34" s="25">
        <f t="shared" si="5"/>
        <v>28.26903901761365</v>
      </c>
      <c r="D34" s="26">
        <f t="shared" si="1"/>
        <v>4.6416627642409131E-3</v>
      </c>
      <c r="E34" s="26">
        <f t="shared" si="2"/>
        <v>-9.3484649854683466E-3</v>
      </c>
      <c r="T34" s="5">
        <v>-0.46524519676715798</v>
      </c>
      <c r="W34" s="2"/>
      <c r="X34" s="2"/>
      <c r="Y34" s="5"/>
      <c r="Z34" s="5"/>
      <c r="AB34" s="5"/>
    </row>
    <row r="35" spans="1:28">
      <c r="A35" s="24">
        <f t="shared" si="3"/>
        <v>8</v>
      </c>
      <c r="B35" s="25">
        <f t="shared" si="4"/>
        <v>62.163420530469686</v>
      </c>
      <c r="C35" s="25">
        <f t="shared" si="5"/>
        <v>28.739385154663267</v>
      </c>
      <c r="D35" s="26">
        <f t="shared" si="1"/>
        <v>-8.3539006146743019E-3</v>
      </c>
      <c r="E35" s="26">
        <f t="shared" si="2"/>
        <v>1.6501308938162786E-2</v>
      </c>
      <c r="T35" s="5">
        <v>0.83191037508661037</v>
      </c>
      <c r="W35" s="2"/>
      <c r="X35" s="2"/>
      <c r="Y35" s="5"/>
      <c r="Z35" s="5"/>
      <c r="AB35" s="5"/>
    </row>
    <row r="36" spans="1:28">
      <c r="A36" s="24">
        <f t="shared" si="3"/>
        <v>7</v>
      </c>
      <c r="B36" s="25">
        <f t="shared" si="4"/>
        <v>62.147642158278813</v>
      </c>
      <c r="C36" s="25">
        <f t="shared" si="5"/>
        <v>28.753974464956602</v>
      </c>
      <c r="D36" s="26">
        <f t="shared" si="1"/>
        <v>-2.5385306720623408E-4</v>
      </c>
      <c r="E36" s="26">
        <f t="shared" si="2"/>
        <v>5.075128920280944E-4</v>
      </c>
      <c r="T36" s="5">
        <v>2.5382084924262749E-2</v>
      </c>
      <c r="W36" s="2"/>
      <c r="X36" s="2"/>
      <c r="Y36" s="5"/>
      <c r="Z36" s="5"/>
      <c r="AB36" s="5"/>
    </row>
    <row r="37" spans="1:28">
      <c r="A37" s="24">
        <f t="shared" si="3"/>
        <v>6</v>
      </c>
      <c r="B37" s="25">
        <f t="shared" si="4"/>
        <v>61.943414135697545</v>
      </c>
      <c r="C37" s="25">
        <f t="shared" si="5"/>
        <v>28.942955644045412</v>
      </c>
      <c r="D37" s="26">
        <f t="shared" si="1"/>
        <v>-3.2915862443860817E-3</v>
      </c>
      <c r="E37" s="26">
        <f t="shared" si="2"/>
        <v>6.5508461040457988E-3</v>
      </c>
      <c r="T37" s="5">
        <v>0.3286174913299813</v>
      </c>
      <c r="W37" s="2"/>
      <c r="X37" s="2"/>
      <c r="Y37" s="5"/>
      <c r="Z37" s="5"/>
      <c r="AB37" s="5"/>
    </row>
    <row r="38" spans="1:28">
      <c r="A38" s="24">
        <f t="shared" si="3"/>
        <v>5</v>
      </c>
      <c r="B38" s="25">
        <f t="shared" si="4"/>
        <v>61.636528510322357</v>
      </c>
      <c r="C38" s="25">
        <f t="shared" si="5"/>
        <v>29.2297392244135</v>
      </c>
      <c r="D38" s="26">
        <f t="shared" si="1"/>
        <v>-4.9666029881023643E-3</v>
      </c>
      <c r="E38" s="26">
        <f t="shared" si="2"/>
        <v>9.8598115263319949E-3</v>
      </c>
      <c r="T38" s="5">
        <v>0.4954289808806891</v>
      </c>
      <c r="W38" s="2"/>
      <c r="X38" s="2"/>
      <c r="Y38" s="5"/>
      <c r="Z38" s="5"/>
      <c r="AB38" s="5"/>
    </row>
    <row r="39" spans="1:28">
      <c r="A39" s="24">
        <f t="shared" si="3"/>
        <v>4</v>
      </c>
      <c r="B39" s="25">
        <f t="shared" si="4"/>
        <v>62.049722088263799</v>
      </c>
      <c r="C39" s="25">
        <f t="shared" si="5"/>
        <v>28.837843677265411</v>
      </c>
      <c r="D39" s="26">
        <f t="shared" si="1"/>
        <v>6.6813427205118471E-3</v>
      </c>
      <c r="E39" s="26">
        <f t="shared" si="2"/>
        <v>-1.3498116429143163E-2</v>
      </c>
      <c r="T39" s="5">
        <v>-0.67037126834981497</v>
      </c>
      <c r="W39" s="2"/>
      <c r="X39" s="2"/>
      <c r="Y39" s="5"/>
      <c r="Z39" s="5"/>
      <c r="AB39" s="5"/>
    </row>
    <row r="40" spans="1:28">
      <c r="A40" s="24">
        <f t="shared" si="3"/>
        <v>3</v>
      </c>
      <c r="B40" s="25">
        <f t="shared" si="4"/>
        <v>61.617526677369092</v>
      </c>
      <c r="C40" s="25">
        <f t="shared" si="5"/>
        <v>29.239572590077753</v>
      </c>
      <c r="D40" s="26">
        <f t="shared" si="1"/>
        <v>-6.989678751725994E-3</v>
      </c>
      <c r="E40" s="26">
        <f t="shared" si="2"/>
        <v>1.3834476322967882E-2</v>
      </c>
      <c r="T40" s="5">
        <v>0.69653077620544779</v>
      </c>
      <c r="W40" s="2"/>
      <c r="X40" s="2"/>
      <c r="Y40" s="5"/>
      <c r="Z40" s="5"/>
      <c r="AB40" s="5"/>
    </row>
    <row r="41" spans="1:28">
      <c r="A41" s="24">
        <f>A42+1</f>
        <v>2</v>
      </c>
      <c r="B41" s="25">
        <f t="shared" si="4"/>
        <v>61.617526677369092</v>
      </c>
      <c r="C41" s="25">
        <f t="shared" si="5"/>
        <v>29.239572590077753</v>
      </c>
      <c r="D41" s="26">
        <f t="shared" si="1"/>
        <v>0</v>
      </c>
      <c r="E41" s="26">
        <f t="shared" si="2"/>
        <v>0</v>
      </c>
      <c r="W41" s="2"/>
      <c r="X41" s="2"/>
      <c r="Y41" s="5"/>
      <c r="Z41" s="5"/>
      <c r="AB41" s="5"/>
    </row>
    <row r="42" spans="1:28">
      <c r="A42" s="24">
        <v>1</v>
      </c>
      <c r="B42" s="25">
        <v>60</v>
      </c>
      <c r="C42" s="25">
        <v>30</v>
      </c>
      <c r="D42" s="26">
        <f t="shared" si="1"/>
        <v>-2.6601791831365469E-2</v>
      </c>
      <c r="E42" s="26">
        <f t="shared" si="2"/>
        <v>2.5674364189813788E-2</v>
      </c>
      <c r="F42" s="34">
        <f>LN(B42/$B$3)/(($A$3+1-A42)/4)</f>
        <v>-2.876820724517809E-2</v>
      </c>
      <c r="G42" s="34">
        <f>LN(C42/$C$3)/(($A$3+1-A42)/4)</f>
        <v>4.0546510810816436E-2</v>
      </c>
      <c r="W42" s="2"/>
      <c r="X42" s="2"/>
      <c r="Y42" s="5"/>
      <c r="Z42" s="5"/>
      <c r="AB42" s="17"/>
    </row>
    <row r="43" spans="1:28">
      <c r="A43" s="7" t="s">
        <v>44</v>
      </c>
      <c r="D43" s="30" t="s">
        <v>80</v>
      </c>
      <c r="E43" s="30" t="s">
        <v>80</v>
      </c>
      <c r="F43" s="31" t="s">
        <v>5</v>
      </c>
      <c r="W43" s="2"/>
      <c r="X43" s="2"/>
      <c r="Y43" s="5"/>
      <c r="Z43" s="5"/>
      <c r="AB43" s="17"/>
    </row>
    <row r="44" spans="1:28">
      <c r="A44" s="7" t="s">
        <v>43</v>
      </c>
      <c r="D44" s="19" t="s">
        <v>42</v>
      </c>
      <c r="E44" s="19" t="s">
        <v>42</v>
      </c>
      <c r="W44" s="2"/>
      <c r="X44" s="2"/>
      <c r="Y44" s="5"/>
      <c r="Z44" s="5"/>
      <c r="AB44" s="5"/>
    </row>
    <row r="45" spans="1:28">
      <c r="A45" s="7" t="s">
        <v>22</v>
      </c>
      <c r="D45" s="20" t="s">
        <v>46</v>
      </c>
      <c r="W45" s="2"/>
      <c r="X45" s="2"/>
      <c r="Y45" s="5"/>
      <c r="Z45" s="5"/>
      <c r="AB45" s="5"/>
    </row>
    <row r="46" spans="1:28" ht="14.25">
      <c r="A46" s="3" t="s">
        <v>55</v>
      </c>
      <c r="B46" s="34" t="s">
        <v>95</v>
      </c>
      <c r="F46" s="35" t="s">
        <v>5</v>
      </c>
      <c r="W46" s="2"/>
      <c r="X46" s="2"/>
      <c r="Y46" s="5"/>
      <c r="Z46" s="5"/>
      <c r="AB46" s="5"/>
    </row>
    <row r="47" spans="1:28" ht="14.25">
      <c r="A47" s="3" t="s">
        <v>56</v>
      </c>
      <c r="B47" s="34" t="s">
        <v>96</v>
      </c>
      <c r="F47" s="35" t="s">
        <v>5</v>
      </c>
      <c r="W47" s="2"/>
      <c r="X47" s="2"/>
      <c r="Y47" s="5"/>
      <c r="Z47" s="5"/>
      <c r="AB47" s="5"/>
    </row>
    <row r="48" spans="1:28">
      <c r="W48" s="2"/>
      <c r="X48" s="2"/>
      <c r="Y48" s="5"/>
      <c r="Z48" s="5"/>
      <c r="AB48" s="5"/>
    </row>
    <row r="49" spans="23:28">
      <c r="W49" s="2"/>
      <c r="X49" s="2"/>
      <c r="Y49" s="5"/>
      <c r="Z49" s="5"/>
      <c r="AB49" s="5"/>
    </row>
    <row r="50" spans="23:28">
      <c r="W50" s="2"/>
      <c r="X50" s="2"/>
      <c r="Y50" s="5"/>
      <c r="Z50" s="5"/>
      <c r="AB50" s="5"/>
    </row>
    <row r="51" spans="23:28">
      <c r="W51" s="2"/>
      <c r="X51" s="2"/>
      <c r="Y51" s="5"/>
      <c r="Z51" s="5"/>
      <c r="AB51" s="5"/>
    </row>
    <row r="52" spans="23:28">
      <c r="W52" s="2"/>
      <c r="X52" s="2"/>
      <c r="Y52" s="5"/>
      <c r="Z52" s="5"/>
      <c r="AB52" s="5"/>
    </row>
    <row r="53" spans="23:28">
      <c r="W53" s="2"/>
      <c r="X53" s="2"/>
      <c r="Y53" s="5"/>
      <c r="Z53" s="5"/>
      <c r="AB53" s="5"/>
    </row>
    <row r="54" spans="23:28">
      <c r="W54" s="2"/>
      <c r="X54" s="2"/>
      <c r="Y54" s="5"/>
      <c r="Z54" s="5"/>
      <c r="AB54" s="5"/>
    </row>
    <row r="55" spans="23:28">
      <c r="W55" s="2"/>
      <c r="X55" s="2"/>
      <c r="Y55" s="5"/>
      <c r="Z55" s="5"/>
      <c r="AB55" s="5"/>
    </row>
    <row r="56" spans="23:28">
      <c r="W56" s="2"/>
      <c r="X56" s="2"/>
      <c r="Y56" s="5"/>
      <c r="Z56" s="5"/>
      <c r="AB56" s="5"/>
    </row>
    <row r="57" spans="23:28">
      <c r="W57" s="2"/>
      <c r="X57" s="2"/>
      <c r="Y57" s="5"/>
      <c r="Z57" s="5"/>
      <c r="AB57" s="5"/>
    </row>
    <row r="58" spans="23:28">
      <c r="W58" s="2"/>
      <c r="X58" s="2"/>
      <c r="Y58" s="5"/>
      <c r="Z58" s="5"/>
      <c r="AB58" s="5"/>
    </row>
    <row r="59" spans="23:28">
      <c r="W59" s="2"/>
      <c r="X59" s="2"/>
      <c r="Y59" s="5"/>
      <c r="Z59" s="5"/>
      <c r="AB59" s="5"/>
    </row>
    <row r="60" spans="23:28">
      <c r="W60" s="2"/>
      <c r="X60" s="2"/>
      <c r="Y60" s="5"/>
      <c r="Z60" s="5"/>
      <c r="AB60" s="5"/>
    </row>
    <row r="61" spans="23:28">
      <c r="W61" s="2"/>
      <c r="X61" s="2"/>
      <c r="Y61" s="5"/>
      <c r="Z61" s="5"/>
      <c r="AB61" s="5"/>
    </row>
    <row r="62" spans="23:28">
      <c r="W62" s="2"/>
      <c r="X62" s="2"/>
      <c r="Y62" s="5"/>
      <c r="Z62" s="5"/>
      <c r="AB62" s="5"/>
    </row>
    <row r="63" spans="23:28">
      <c r="W63" s="2"/>
      <c r="X63" s="2"/>
      <c r="Y63" s="5"/>
      <c r="Z63" s="5"/>
      <c r="AB63" s="5"/>
    </row>
    <row r="64" spans="23:28">
      <c r="W64" s="2"/>
      <c r="X64" s="2"/>
      <c r="Y64" s="5"/>
      <c r="Z64" s="5"/>
      <c r="AB64" s="5"/>
    </row>
    <row r="65" spans="22:28">
      <c r="W65" s="2"/>
      <c r="X65" s="2"/>
      <c r="Y65" s="5"/>
      <c r="Z65" s="5"/>
      <c r="AB65" s="5"/>
    </row>
    <row r="66" spans="22:28">
      <c r="W66" s="2"/>
      <c r="X66" s="2"/>
      <c r="Y66" s="5"/>
      <c r="Z66" s="5"/>
      <c r="AB66" s="5"/>
    </row>
    <row r="67" spans="22:28">
      <c r="V67" s="7"/>
      <c r="Y67" s="12"/>
      <c r="Z67" s="12"/>
    </row>
    <row r="68" spans="22:28">
      <c r="V68" s="7"/>
      <c r="Y68" s="12"/>
      <c r="Z68" s="12"/>
    </row>
    <row r="69" spans="22:28">
      <c r="V69" s="7"/>
      <c r="Y69" s="12"/>
    </row>
  </sheetData>
  <printOptions horizontalCentered="1" headings="1"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1"/>
  <sheetViews>
    <sheetView topLeftCell="A23" workbookViewId="0">
      <selection activeCell="B41" sqref="B41"/>
    </sheetView>
  </sheetViews>
  <sheetFormatPr defaultRowHeight="12.75"/>
  <cols>
    <col min="1" max="1" width="11.28515625" bestFit="1" customWidth="1"/>
    <col min="2" max="2" width="15.7109375" customWidth="1"/>
    <col min="3" max="3" width="10.7109375" customWidth="1"/>
  </cols>
  <sheetData>
    <row r="1" spans="1:3" ht="15.75">
      <c r="B1" s="1" t="s">
        <v>68</v>
      </c>
    </row>
    <row r="2" spans="1:3">
      <c r="A2" t="s">
        <v>0</v>
      </c>
      <c r="B2" s="15" t="s">
        <v>25</v>
      </c>
    </row>
    <row r="3" spans="1:3" ht="15.75">
      <c r="A3" s="7" t="s">
        <v>51</v>
      </c>
      <c r="B3" s="2">
        <v>80</v>
      </c>
      <c r="C3" s="7" t="s">
        <v>5</v>
      </c>
    </row>
    <row r="4" spans="1:3" ht="15.75">
      <c r="A4" s="7" t="s">
        <v>52</v>
      </c>
      <c r="B4" s="2">
        <v>20</v>
      </c>
    </row>
    <row r="5" spans="1:3">
      <c r="A5" t="s">
        <v>2</v>
      </c>
      <c r="B5" s="2">
        <v>100</v>
      </c>
    </row>
    <row r="6" spans="1:3">
      <c r="A6" s="7" t="s">
        <v>8</v>
      </c>
      <c r="B6" s="2">
        <f>B22</f>
        <v>29.953095611864995</v>
      </c>
    </row>
    <row r="7" spans="1:3" ht="14.25">
      <c r="A7" s="3" t="s">
        <v>53</v>
      </c>
      <c r="B7" s="2">
        <v>0</v>
      </c>
    </row>
    <row r="8" spans="1:3" ht="14.25">
      <c r="A8" s="3" t="s">
        <v>54</v>
      </c>
      <c r="B8" s="2">
        <v>0</v>
      </c>
    </row>
    <row r="9" spans="1:3">
      <c r="A9" s="3" t="s">
        <v>3</v>
      </c>
      <c r="B9" s="2">
        <v>0</v>
      </c>
    </row>
    <row r="10" spans="1:3">
      <c r="A10" s="6" t="s">
        <v>3</v>
      </c>
      <c r="B10" s="2">
        <v>7.0000000000000007E-2</v>
      </c>
    </row>
    <row r="11" spans="1:3" ht="14.25">
      <c r="A11" s="3" t="s">
        <v>55</v>
      </c>
      <c r="B11" s="2">
        <v>-0.02</v>
      </c>
    </row>
    <row r="12" spans="1:3" ht="14.25">
      <c r="A12" s="3" t="s">
        <v>56</v>
      </c>
      <c r="B12" s="2">
        <v>0.04</v>
      </c>
    </row>
    <row r="13" spans="1:3">
      <c r="A13" s="3"/>
      <c r="B13" s="2"/>
    </row>
    <row r="14" spans="1:3">
      <c r="A14" s="4" t="s">
        <v>4</v>
      </c>
      <c r="B14" s="2"/>
    </row>
    <row r="15" spans="1:3">
      <c r="A15" s="4" t="s">
        <v>9</v>
      </c>
      <c r="B15" s="9">
        <f>B11*B19+B12*B20-B10</f>
        <v>-1.0803857808383555E-13</v>
      </c>
      <c r="C15" s="7" t="s">
        <v>5</v>
      </c>
    </row>
    <row r="16" spans="1:3">
      <c r="A16" s="4" t="s">
        <v>16</v>
      </c>
      <c r="B16" s="9">
        <f>((B3/B21)^B19)*((B4/B22)^B20)-EXP(-B10*B23)</f>
        <v>4.9960036108132044E-16</v>
      </c>
      <c r="C16" s="7" t="s">
        <v>5</v>
      </c>
    </row>
    <row r="17" spans="1:6">
      <c r="A17" s="4" t="s">
        <v>47</v>
      </c>
      <c r="B17" s="9">
        <f>B35-B36-B37</f>
        <v>-9.0628077487053815E-8</v>
      </c>
      <c r="C17" s="7"/>
    </row>
    <row r="18" spans="1:6">
      <c r="A18" t="s">
        <v>13</v>
      </c>
      <c r="B18" s="5">
        <f t="array" ref="B18">SUM(ABS(B15:B17))</f>
        <v>9.062818602523226E-8</v>
      </c>
    </row>
    <row r="19" spans="1:6">
      <c r="A19" s="3" t="s">
        <v>48</v>
      </c>
      <c r="B19" s="5">
        <v>-6.2515268699076245E-3</v>
      </c>
    </row>
    <row r="20" spans="1:6">
      <c r="A20" s="3" t="s">
        <v>49</v>
      </c>
      <c r="B20" s="5">
        <v>1.7468742365623455</v>
      </c>
    </row>
    <row r="21" spans="1:6">
      <c r="A21" s="7" t="s">
        <v>10</v>
      </c>
      <c r="B21" s="21">
        <v>65.370849448002005</v>
      </c>
      <c r="C21" s="7" t="s">
        <v>5</v>
      </c>
    </row>
    <row r="22" spans="1:6">
      <c r="A22" t="s">
        <v>8</v>
      </c>
      <c r="B22" s="14">
        <v>29.953095611864995</v>
      </c>
      <c r="C22" s="7"/>
    </row>
    <row r="23" spans="1:6" ht="15.75">
      <c r="A23" s="7" t="s">
        <v>57</v>
      </c>
      <c r="B23" s="11">
        <f>(1/B12)*(LN(B22/B4))</f>
        <v>10.097510124849322</v>
      </c>
      <c r="C23" s="7"/>
    </row>
    <row r="24" spans="1:6" ht="15.75">
      <c r="A24" s="7" t="s">
        <v>58</v>
      </c>
      <c r="B24" s="11">
        <f>(1/B11)*(LN(B21/B3))</f>
        <v>10.09751013356742</v>
      </c>
      <c r="C24" s="7"/>
    </row>
    <row r="25" spans="1:6">
      <c r="A25" s="7" t="s">
        <v>59</v>
      </c>
      <c r="B25" s="11">
        <f>B21-B22</f>
        <v>35.41775383613701</v>
      </c>
      <c r="C25" s="7"/>
    </row>
    <row r="26" spans="1:6">
      <c r="C26" s="7"/>
    </row>
    <row r="27" spans="1:6">
      <c r="A27" s="7" t="str">
        <f>B2</f>
        <v>Deterministic</v>
      </c>
      <c r="B27" s="11"/>
      <c r="C27" s="7"/>
    </row>
    <row r="28" spans="1:6">
      <c r="A28" s="4" t="s">
        <v>9</v>
      </c>
      <c r="B28" s="9" t="s">
        <v>82</v>
      </c>
      <c r="C28" s="7"/>
      <c r="F28" s="7" t="s">
        <v>71</v>
      </c>
    </row>
    <row r="29" spans="1:6">
      <c r="A29" s="4" t="s">
        <v>16</v>
      </c>
      <c r="B29" s="9" t="s">
        <v>91</v>
      </c>
      <c r="C29" s="7"/>
      <c r="F29" s="7" t="s">
        <v>72</v>
      </c>
    </row>
    <row r="30" spans="1:6">
      <c r="A30" s="4" t="s">
        <v>47</v>
      </c>
      <c r="B30" s="9" t="s">
        <v>87</v>
      </c>
    </row>
    <row r="31" spans="1:6">
      <c r="A31" s="4" t="s">
        <v>18</v>
      </c>
      <c r="B31" s="9" t="s">
        <v>83</v>
      </c>
    </row>
    <row r="32" spans="1:6" ht="15.75">
      <c r="A32" s="7" t="s">
        <v>57</v>
      </c>
      <c r="B32" s="11" t="s">
        <v>84</v>
      </c>
      <c r="F32" s="7" t="s">
        <v>70</v>
      </c>
    </row>
    <row r="33" spans="1:12" ht="15.75">
      <c r="A33" s="7" t="s">
        <v>58</v>
      </c>
      <c r="B33" s="11" t="s">
        <v>85</v>
      </c>
      <c r="F33" s="7" t="s">
        <v>70</v>
      </c>
    </row>
    <row r="35" spans="1:12">
      <c r="A35" s="7" t="s">
        <v>60</v>
      </c>
      <c r="B35" s="8">
        <f>B21*((1/B10)+(B11/B10)*(EXP(-B10*B24)/(B10-B11)))</f>
        <v>831.51569032637644</v>
      </c>
      <c r="F35" s="7" t="s">
        <v>69</v>
      </c>
    </row>
    <row r="36" spans="1:12">
      <c r="A36" s="7" t="s">
        <v>61</v>
      </c>
      <c r="B36" s="8">
        <f>B22*((1/B10)+(B12/B10)*(EXP(-B10*B24)/(B10-B12)))</f>
        <v>709.29346819478224</v>
      </c>
      <c r="F36" s="7" t="s">
        <v>69</v>
      </c>
    </row>
    <row r="37" spans="1:12">
      <c r="A37" s="7" t="s">
        <v>62</v>
      </c>
      <c r="B37" s="8">
        <f>B3/(B10-B11)-B4/(B10-B12)-B5</f>
        <v>122.22222222222229</v>
      </c>
      <c r="F37" s="7" t="s">
        <v>69</v>
      </c>
    </row>
    <row r="38" spans="1:12">
      <c r="A38" s="7" t="s">
        <v>63</v>
      </c>
      <c r="B38" s="9">
        <f>B35-B36-B37</f>
        <v>-9.0628077487053815E-8</v>
      </c>
      <c r="F38" s="7" t="s">
        <v>69</v>
      </c>
    </row>
    <row r="39" spans="1:12">
      <c r="A39" s="7" t="s">
        <v>5</v>
      </c>
      <c r="B39" s="7" t="s">
        <v>5</v>
      </c>
      <c r="D39" s="8" t="s">
        <v>86</v>
      </c>
    </row>
    <row r="40" spans="1:12">
      <c r="A40" s="7" t="s">
        <v>60</v>
      </c>
      <c r="B40" s="8">
        <f>B21*(((1+B11)/B10)*(EXP(-B10*B24)/(B10-B11)))</f>
        <v>5015.3257876089519</v>
      </c>
      <c r="D40" s="8" t="s">
        <v>93</v>
      </c>
    </row>
    <row r="41" spans="1:12">
      <c r="A41" s="7" t="s">
        <v>61</v>
      </c>
      <c r="B41" s="8">
        <f>B22*(((1+B12)/B10)*(EXP(-B10*B24)/(B10-B12)))</f>
        <v>7316.1946600859137</v>
      </c>
      <c r="D41" s="8" t="s">
        <v>94</v>
      </c>
    </row>
    <row r="42" spans="1:12">
      <c r="A42" s="7" t="s">
        <v>62</v>
      </c>
      <c r="B42" s="8" t="s">
        <v>64</v>
      </c>
    </row>
    <row r="43" spans="1:12">
      <c r="A43" s="7" t="s">
        <v>63</v>
      </c>
      <c r="B43" s="9" t="s">
        <v>87</v>
      </c>
      <c r="F43" s="7" t="s">
        <v>5</v>
      </c>
    </row>
    <row r="45" spans="1:12">
      <c r="A45" s="7"/>
      <c r="B45" s="27" t="s">
        <v>65</v>
      </c>
      <c r="C45" s="28"/>
      <c r="D45" s="28"/>
      <c r="E45" s="28"/>
      <c r="F45" s="27"/>
      <c r="G45" s="28"/>
      <c r="H45" s="28"/>
    </row>
    <row r="46" spans="1:12">
      <c r="A46" s="7" t="s">
        <v>66</v>
      </c>
      <c r="B46">
        <v>1</v>
      </c>
      <c r="C46">
        <v>2</v>
      </c>
      <c r="D46">
        <v>3</v>
      </c>
      <c r="E46">
        <v>4</v>
      </c>
      <c r="F46">
        <v>5</v>
      </c>
      <c r="G46">
        <v>6</v>
      </c>
      <c r="H46">
        <v>7</v>
      </c>
      <c r="I46">
        <v>8</v>
      </c>
      <c r="J46">
        <v>9</v>
      </c>
      <c r="K46">
        <v>10</v>
      </c>
      <c r="L46">
        <v>11</v>
      </c>
    </row>
    <row r="47" spans="1:12">
      <c r="A47" s="7" t="s">
        <v>1</v>
      </c>
      <c r="B47" s="8">
        <f>$B$3*EXP($B$11*B46)</f>
        <v>78.415893864540422</v>
      </c>
      <c r="C47" s="2">
        <f t="shared" ref="C47:L47" si="0">$B$3*EXP($B$11*C46)</f>
        <v>76.863155132185852</v>
      </c>
      <c r="D47" s="2">
        <f t="shared" si="0"/>
        <v>75.341162686739892</v>
      </c>
      <c r="E47" s="2">
        <f t="shared" si="0"/>
        <v>73.849307710930859</v>
      </c>
      <c r="F47" s="2">
        <f t="shared" si="0"/>
        <v>72.386993442876758</v>
      </c>
      <c r="G47" s="2">
        <f t="shared" si="0"/>
        <v>70.953634937372598</v>
      </c>
      <c r="H47" s="2">
        <f t="shared" si="0"/>
        <v>69.548658831904476</v>
      </c>
      <c r="I47" s="2">
        <f t="shared" si="0"/>
        <v>68.171503117296908</v>
      </c>
      <c r="J47" s="2">
        <f t="shared" si="0"/>
        <v>66.82161691290176</v>
      </c>
      <c r="K47" s="29">
        <f t="shared" si="0"/>
        <v>65.498460246238551</v>
      </c>
      <c r="L47" s="2">
        <f t="shared" si="0"/>
        <v>64.201503836998285</v>
      </c>
    </row>
    <row r="48" spans="1:12">
      <c r="A48" s="7" t="s">
        <v>7</v>
      </c>
      <c r="B48" s="8">
        <f>$B$4*EXP($B$12*B46)</f>
        <v>20.816215483847763</v>
      </c>
      <c r="C48" s="2">
        <f t="shared" ref="C48:L48" si="1">$B$4*EXP($B$12*C46)</f>
        <v>21.665741353499172</v>
      </c>
      <c r="D48" s="2">
        <f t="shared" si="1"/>
        <v>22.549937031587515</v>
      </c>
      <c r="E48" s="2">
        <f t="shared" si="1"/>
        <v>23.470217419836207</v>
      </c>
      <c r="F48" s="2">
        <f t="shared" si="1"/>
        <v>24.428055163203396</v>
      </c>
      <c r="G48" s="2">
        <f t="shared" si="1"/>
        <v>25.424983006428093</v>
      </c>
      <c r="H48" s="2">
        <f t="shared" si="1"/>
        <v>26.462596246748738</v>
      </c>
      <c r="I48" s="2">
        <f t="shared" si="1"/>
        <v>27.542555286719143</v>
      </c>
      <c r="J48" s="2">
        <f t="shared" si="1"/>
        <v>28.666588291206804</v>
      </c>
      <c r="K48" s="29">
        <f t="shared" si="1"/>
        <v>29.836493952825407</v>
      </c>
      <c r="L48" s="2">
        <f t="shared" si="1"/>
        <v>31.054144370226719</v>
      </c>
    </row>
    <row r="49" spans="1:12">
      <c r="A49" s="7" t="s">
        <v>67</v>
      </c>
      <c r="B49" s="2">
        <f t="shared" ref="B49:L49" si="2">B47-B48</f>
        <v>57.599678380692659</v>
      </c>
      <c r="C49" s="2">
        <f t="shared" si="2"/>
        <v>55.197413778686681</v>
      </c>
      <c r="D49" s="2">
        <f t="shared" si="2"/>
        <v>52.791225655152374</v>
      </c>
      <c r="E49" s="2">
        <f t="shared" si="2"/>
        <v>50.379090291094656</v>
      </c>
      <c r="F49" s="2">
        <f t="shared" si="2"/>
        <v>47.958938279673362</v>
      </c>
      <c r="G49" s="2">
        <f t="shared" si="2"/>
        <v>45.528651930944505</v>
      </c>
      <c r="H49" s="2">
        <f t="shared" si="2"/>
        <v>43.086062585155737</v>
      </c>
      <c r="I49" s="2">
        <f t="shared" si="2"/>
        <v>40.628947830577765</v>
      </c>
      <c r="J49" s="2">
        <f t="shared" si="2"/>
        <v>38.155028621694953</v>
      </c>
      <c r="K49" s="29">
        <f t="shared" si="2"/>
        <v>35.661966293413144</v>
      </c>
      <c r="L49" s="2">
        <f t="shared" si="2"/>
        <v>33.147359466771562</v>
      </c>
    </row>
    <row r="50" spans="1:12">
      <c r="A50" s="7" t="s">
        <v>1</v>
      </c>
      <c r="B50" s="8" t="s">
        <v>78</v>
      </c>
    </row>
    <row r="51" spans="1:12">
      <c r="A51" s="7" t="s">
        <v>7</v>
      </c>
      <c r="B51" s="8" t="s">
        <v>79</v>
      </c>
    </row>
  </sheetData>
  <printOptions horizontalCentered="1" heading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7"/>
  <sheetViews>
    <sheetView topLeftCell="A11" workbookViewId="0">
      <selection activeCell="A30" sqref="A30"/>
    </sheetView>
  </sheetViews>
  <sheetFormatPr defaultRowHeight="12.75"/>
  <cols>
    <col min="1" max="1" width="11.28515625" bestFit="1" customWidth="1"/>
    <col min="2" max="2" width="15.7109375" customWidth="1"/>
    <col min="3" max="3" width="10.7109375" customWidth="1"/>
    <col min="5" max="5" width="9.7109375" customWidth="1"/>
  </cols>
  <sheetData>
    <row r="1" spans="1:3" ht="15.75">
      <c r="B1" s="1"/>
      <c r="C1" s="1" t="s">
        <v>24</v>
      </c>
    </row>
    <row r="2" spans="1:3">
      <c r="A2" s="7" t="s">
        <v>0</v>
      </c>
      <c r="B2" s="15" t="s">
        <v>26</v>
      </c>
    </row>
    <row r="3" spans="1:3" ht="15.75">
      <c r="A3" s="7" t="s">
        <v>51</v>
      </c>
      <c r="B3" s="2">
        <v>80</v>
      </c>
      <c r="C3" s="7" t="s">
        <v>5</v>
      </c>
    </row>
    <row r="4" spans="1:3" ht="15.75">
      <c r="A4" s="7" t="s">
        <v>52</v>
      </c>
      <c r="B4" s="2">
        <v>20</v>
      </c>
    </row>
    <row r="5" spans="1:3">
      <c r="A5" t="s">
        <v>2</v>
      </c>
      <c r="B5" s="2">
        <v>100</v>
      </c>
    </row>
    <row r="6" spans="1:3">
      <c r="A6" s="7" t="s">
        <v>8</v>
      </c>
      <c r="B6" s="2">
        <v>20</v>
      </c>
    </row>
    <row r="7" spans="1:3" ht="14.25">
      <c r="A7" s="3" t="s">
        <v>53</v>
      </c>
      <c r="B7" s="2">
        <v>0.3</v>
      </c>
    </row>
    <row r="8" spans="1:3" ht="14.25">
      <c r="A8" s="3" t="s">
        <v>54</v>
      </c>
      <c r="B8" s="2">
        <v>0</v>
      </c>
    </row>
    <row r="9" spans="1:3">
      <c r="A9" s="3" t="s">
        <v>3</v>
      </c>
      <c r="B9" s="8">
        <v>0</v>
      </c>
    </row>
    <row r="10" spans="1:3">
      <c r="A10" s="6" t="s">
        <v>3</v>
      </c>
      <c r="B10" s="2">
        <v>7.0000000000000007E-2</v>
      </c>
    </row>
    <row r="11" spans="1:3">
      <c r="A11" s="3" t="s">
        <v>14</v>
      </c>
      <c r="B11" s="2">
        <v>-0.02</v>
      </c>
    </row>
    <row r="12" spans="1:3">
      <c r="A12" s="3" t="s">
        <v>15</v>
      </c>
      <c r="B12" s="8">
        <v>0</v>
      </c>
    </row>
    <row r="13" spans="1:3">
      <c r="A13" s="3"/>
      <c r="B13" s="2"/>
    </row>
    <row r="14" spans="1:3">
      <c r="A14" s="4" t="s">
        <v>4</v>
      </c>
      <c r="B14" s="3" t="s">
        <v>5</v>
      </c>
    </row>
    <row r="15" spans="1:3">
      <c r="A15" s="4" t="s">
        <v>33</v>
      </c>
      <c r="B15" s="9">
        <f>(0.5-B11/(B7^2))-SQRT((0.5-B11/(B7^2))^2+2*B10/(B7^2))-B19</f>
        <v>0</v>
      </c>
      <c r="C15" s="7" t="s">
        <v>74</v>
      </c>
    </row>
    <row r="16" spans="1:3">
      <c r="A16" s="4" t="s">
        <v>47</v>
      </c>
      <c r="B16" s="9">
        <f>(B20/(B19*(B10-B11)))*(B19-1+((B3/B20)^B19))-B3/(B10-B11)+B5</f>
        <v>-2.8283386654948117E-7</v>
      </c>
      <c r="C16" s="7" t="s">
        <v>73</v>
      </c>
    </row>
    <row r="17" spans="1:3">
      <c r="A17" t="s">
        <v>13</v>
      </c>
      <c r="B17" s="5">
        <f t="array" ref="B17">SUM(ABS(B15:B16))</f>
        <v>2.8283386654948117E-7</v>
      </c>
    </row>
    <row r="18" spans="1:3">
      <c r="A18" s="7" t="s">
        <v>4</v>
      </c>
      <c r="B18" s="9" t="s">
        <v>5</v>
      </c>
    </row>
    <row r="19" spans="1:3">
      <c r="A19" s="3" t="s">
        <v>48</v>
      </c>
      <c r="B19" s="5">
        <v>-0.71901353011920521</v>
      </c>
    </row>
    <row r="20" spans="1:3">
      <c r="A20" s="7" t="s">
        <v>10</v>
      </c>
      <c r="B20" s="21">
        <v>51.589271492724123</v>
      </c>
      <c r="C20" s="7" t="s">
        <v>5</v>
      </c>
    </row>
    <row r="21" spans="1:3">
      <c r="A21" s="3" t="s">
        <v>49</v>
      </c>
      <c r="B21" s="5">
        <v>0</v>
      </c>
      <c r="C21" s="7"/>
    </row>
    <row r="22" spans="1:3">
      <c r="A22" s="4" t="s">
        <v>5</v>
      </c>
      <c r="C22" s="7"/>
    </row>
    <row r="23" spans="1:3">
      <c r="A23" t="str">
        <f>B2</f>
        <v>Stochastic P</v>
      </c>
      <c r="C23" s="7"/>
    </row>
    <row r="24" spans="1:3">
      <c r="A24" s="4" t="s">
        <v>33</v>
      </c>
      <c r="B24" s="9" t="s">
        <v>34</v>
      </c>
    </row>
    <row r="25" spans="1:3">
      <c r="A25" s="4" t="s">
        <v>47</v>
      </c>
      <c r="B25" s="9" t="s">
        <v>37</v>
      </c>
    </row>
    <row r="26" spans="1:3">
      <c r="A26" s="7" t="s">
        <v>5</v>
      </c>
    </row>
    <row r="27" spans="1:3">
      <c r="A27" s="4" t="s">
        <v>18</v>
      </c>
      <c r="B27" t="s">
        <v>35</v>
      </c>
    </row>
  </sheetData>
  <printOptions horizontalCentered="1" heading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9"/>
  <sheetViews>
    <sheetView workbookViewId="0"/>
  </sheetViews>
  <sheetFormatPr defaultRowHeight="12.75"/>
  <cols>
    <col min="1" max="1" width="14.85546875" bestFit="1" customWidth="1"/>
    <col min="2" max="4" width="15.7109375" customWidth="1"/>
    <col min="6" max="6" width="10.7109375" customWidth="1"/>
  </cols>
  <sheetData>
    <row r="1" spans="1:6" ht="15.75">
      <c r="A1" s="1" t="s">
        <v>24</v>
      </c>
      <c r="B1" s="1"/>
      <c r="C1" s="1"/>
      <c r="D1" s="1"/>
      <c r="E1" s="1"/>
    </row>
    <row r="2" spans="1:6">
      <c r="A2" t="s">
        <v>0</v>
      </c>
      <c r="B2" s="15" t="s">
        <v>25</v>
      </c>
      <c r="C2" s="15" t="s">
        <v>26</v>
      </c>
      <c r="D2" s="15" t="s">
        <v>6</v>
      </c>
    </row>
    <row r="3" spans="1:6" ht="15.75">
      <c r="A3" s="7" t="s">
        <v>51</v>
      </c>
      <c r="B3" s="2">
        <v>80</v>
      </c>
      <c r="C3" s="2">
        <f t="shared" ref="C3:C5" si="0">B3</f>
        <v>80</v>
      </c>
      <c r="D3" s="2">
        <f>C3</f>
        <v>80</v>
      </c>
      <c r="F3" s="7" t="s">
        <v>5</v>
      </c>
    </row>
    <row r="4" spans="1:6" ht="15.75">
      <c r="A4" s="7" t="s">
        <v>52</v>
      </c>
      <c r="B4" s="2">
        <v>20</v>
      </c>
      <c r="C4" s="2">
        <f t="shared" si="0"/>
        <v>20</v>
      </c>
      <c r="D4" s="2">
        <f>C4</f>
        <v>20</v>
      </c>
    </row>
    <row r="5" spans="1:6">
      <c r="A5" t="s">
        <v>2</v>
      </c>
      <c r="B5" s="2">
        <v>100</v>
      </c>
      <c r="C5" s="2">
        <f t="shared" si="0"/>
        <v>100</v>
      </c>
      <c r="D5" s="2">
        <v>100</v>
      </c>
    </row>
    <row r="6" spans="1:6">
      <c r="A6" s="7" t="s">
        <v>8</v>
      </c>
      <c r="B6" s="2">
        <f>DETERMINSTIC!$B$6</f>
        <v>29.953095611864995</v>
      </c>
      <c r="C6" s="2">
        <v>20</v>
      </c>
      <c r="D6" s="2">
        <f>B6</f>
        <v>29.953095611864995</v>
      </c>
    </row>
    <row r="7" spans="1:6" ht="14.25">
      <c r="A7" s="3" t="s">
        <v>53</v>
      </c>
      <c r="B7" s="2">
        <v>0</v>
      </c>
      <c r="C7" s="2">
        <f>C46</f>
        <v>0.3</v>
      </c>
      <c r="D7" s="2">
        <v>0.3</v>
      </c>
    </row>
    <row r="8" spans="1:6" ht="14.25">
      <c r="A8" s="3" t="s">
        <v>54</v>
      </c>
      <c r="B8" s="2">
        <v>0</v>
      </c>
      <c r="C8" s="2">
        <v>0</v>
      </c>
      <c r="D8" s="2">
        <v>0.3</v>
      </c>
    </row>
    <row r="9" spans="1:6">
      <c r="A9" s="3" t="s">
        <v>3</v>
      </c>
      <c r="B9" s="2">
        <v>0</v>
      </c>
      <c r="C9" s="8">
        <v>0</v>
      </c>
      <c r="D9" s="2">
        <f>C51</f>
        <v>0</v>
      </c>
    </row>
    <row r="10" spans="1:6">
      <c r="A10" s="6" t="s">
        <v>3</v>
      </c>
      <c r="B10" s="2">
        <v>7.0000000000000007E-2</v>
      </c>
      <c r="C10" s="2">
        <f>B10</f>
        <v>7.0000000000000007E-2</v>
      </c>
      <c r="D10" s="2">
        <f>C10</f>
        <v>7.0000000000000007E-2</v>
      </c>
    </row>
    <row r="11" spans="1:6" ht="14.25">
      <c r="A11" s="3" t="s">
        <v>55</v>
      </c>
      <c r="B11" s="2">
        <f>C45</f>
        <v>-0.02</v>
      </c>
      <c r="C11" s="2">
        <f>B11</f>
        <v>-0.02</v>
      </c>
      <c r="D11" s="2">
        <v>-0.02</v>
      </c>
    </row>
    <row r="12" spans="1:6" ht="14.25">
      <c r="A12" s="3" t="s">
        <v>56</v>
      </c>
      <c r="B12" s="2">
        <f>D45</f>
        <v>0.04</v>
      </c>
      <c r="C12" s="8">
        <v>0</v>
      </c>
      <c r="D12" s="2">
        <v>0.04</v>
      </c>
    </row>
    <row r="13" spans="1:6">
      <c r="A13" s="3"/>
      <c r="B13" s="2"/>
      <c r="C13" s="9" t="s">
        <v>5</v>
      </c>
      <c r="D13" s="2"/>
    </row>
    <row r="14" spans="1:6">
      <c r="A14" s="4" t="s">
        <v>4</v>
      </c>
      <c r="B14" s="2"/>
      <c r="C14" s="3" t="s">
        <v>5</v>
      </c>
      <c r="D14" s="3" t="s">
        <v>5</v>
      </c>
    </row>
    <row r="15" spans="1:6">
      <c r="A15" s="4" t="s">
        <v>9</v>
      </c>
      <c r="B15" s="9">
        <f>B11*B23+B12*B24-B10</f>
        <v>-1.0803857808383555E-13</v>
      </c>
      <c r="C15" s="9">
        <f>(0.5-C11/(C7^2))-SQRT((0.5-C11/(C7^2))^2+2*C10/(C7^2))-C23</f>
        <v>0</v>
      </c>
      <c r="D15" s="9">
        <f>0.5*(D7^2)*D23*(D23-1)+0.5*(D8^2)*D24*(D24-1)+D9*D7*D8*D23*D24+D11*D23+D12*D24-D10</f>
        <v>-8.1707973720313021E-12</v>
      </c>
      <c r="E15" s="7" t="s">
        <v>75</v>
      </c>
    </row>
    <row r="16" spans="1:6">
      <c r="A16" s="4" t="s">
        <v>16</v>
      </c>
      <c r="B16" s="9">
        <f>((B3/B25)^B23)*((B4/B6)^B24)-EXP(-B10*B26)</f>
        <v>4.9960036108132044E-16</v>
      </c>
      <c r="C16" s="9">
        <f>(C25/(C23*(C10-C11)))*(C23-1+((C3/C25)^C23))-C3/(C10-C11)+C5</f>
        <v>-2.8283386654948117E-7</v>
      </c>
      <c r="D16" s="9">
        <f>D25/(-D23*(D10-D11))-D6/(D24*(D10-D12))</f>
        <v>-9.2630032213492086E-6</v>
      </c>
      <c r="E16" s="7" t="s">
        <v>76</v>
      </c>
    </row>
    <row r="17" spans="1:6">
      <c r="A17" s="4" t="s">
        <v>47</v>
      </c>
      <c r="B17" s="9">
        <v>0</v>
      </c>
      <c r="C17" s="9">
        <v>0</v>
      </c>
      <c r="D17" s="9">
        <f>D18*D19+D20</f>
        <v>2.6294413117966542E-6</v>
      </c>
      <c r="E17" s="7" t="s">
        <v>77</v>
      </c>
    </row>
    <row r="18" spans="1:6">
      <c r="A18" t="s">
        <v>11</v>
      </c>
      <c r="B18" s="8" t="s">
        <v>5</v>
      </c>
      <c r="C18" s="8" t="s">
        <v>5</v>
      </c>
      <c r="D18" s="8">
        <f>D6/(D24*(D10-D12))</f>
        <v>1241.8156030584594</v>
      </c>
    </row>
    <row r="19" spans="1:6">
      <c r="A19" t="s">
        <v>12</v>
      </c>
      <c r="B19" s="9" t="s">
        <v>5</v>
      </c>
      <c r="C19" s="9" t="s">
        <v>5</v>
      </c>
      <c r="D19" s="9">
        <f>1-D23-D24-((D3^D23)*(D4^D24)/(D6^(D23+D24)))*((-D23*(D10-D11)/(D24*(D10-D12)))^-D23)</f>
        <v>9.8422200969808471E-2</v>
      </c>
      <c r="E19" s="7" t="s">
        <v>5</v>
      </c>
    </row>
    <row r="20" spans="1:6">
      <c r="A20" s="7" t="s">
        <v>17</v>
      </c>
      <c r="B20" s="8" t="s">
        <v>5</v>
      </c>
      <c r="C20" s="8" t="s">
        <v>5</v>
      </c>
      <c r="D20" s="10">
        <f>-D3/(D10-D11)+D4/(D10-D12)+D5</f>
        <v>-122.22222222222229</v>
      </c>
    </row>
    <row r="21" spans="1:6">
      <c r="A21" t="s">
        <v>13</v>
      </c>
      <c r="B21" s="5">
        <f>SUM(B15:B17)</f>
        <v>-1.0753897772275423E-13</v>
      </c>
      <c r="C21" s="5">
        <f t="array" ref="C21">SUM(ABS(C15:C17))</f>
        <v>2.8283386654948117E-7</v>
      </c>
      <c r="D21" s="5">
        <f t="array" ref="D21">SUM(ABS(D15:D17))</f>
        <v>1.1892452703943235E-5</v>
      </c>
      <c r="E21" s="9" t="s">
        <v>39</v>
      </c>
    </row>
    <row r="22" spans="1:6">
      <c r="A22" s="7" t="s">
        <v>5</v>
      </c>
      <c r="B22" s="9" t="s">
        <v>5</v>
      </c>
      <c r="C22" s="9" t="s">
        <v>5</v>
      </c>
    </row>
    <row r="23" spans="1:6">
      <c r="A23" s="3" t="s">
        <v>48</v>
      </c>
      <c r="B23" s="5">
        <f>DETERMINSTIC!B19</f>
        <v>-6.2515268699076245E-3</v>
      </c>
      <c r="C23" s="5">
        <f>'STOCHASTIC P'!$B$19</f>
        <v>-0.71901353011920521</v>
      </c>
      <c r="D23" s="5">
        <v>-0.51068394026778008</v>
      </c>
    </row>
    <row r="24" spans="1:6">
      <c r="A24" s="3" t="s">
        <v>49</v>
      </c>
      <c r="B24" s="5">
        <f>DETERMINSTIC!B20</f>
        <v>1.7468742365623455</v>
      </c>
      <c r="C24" s="5">
        <v>0</v>
      </c>
      <c r="D24" s="5">
        <v>0.80401350887881984</v>
      </c>
    </row>
    <row r="25" spans="1:6">
      <c r="A25" s="7" t="s">
        <v>10</v>
      </c>
      <c r="B25" s="21">
        <f>DETERMINSTIC!B21</f>
        <v>65.370849448002005</v>
      </c>
      <c r="C25" s="21">
        <f>'STOCHASTIC P'!$B$20</f>
        <v>51.589271492724123</v>
      </c>
      <c r="D25" s="21">
        <v>57.0757752472893</v>
      </c>
      <c r="F25" s="7" t="s">
        <v>5</v>
      </c>
    </row>
    <row r="26" spans="1:6">
      <c r="A26" s="7" t="s">
        <v>32</v>
      </c>
      <c r="B26" s="11">
        <f>(1/B12)*LN(B6/B4)</f>
        <v>10.097510124849322</v>
      </c>
      <c r="C26" s="11"/>
      <c r="D26" s="11"/>
      <c r="F26" s="7"/>
    </row>
    <row r="27" spans="1:6">
      <c r="A27" s="7" t="str">
        <f>B2</f>
        <v>Deterministic</v>
      </c>
      <c r="B27" s="11"/>
      <c r="C27" s="11"/>
      <c r="D27" s="11"/>
      <c r="F27" s="7"/>
    </row>
    <row r="28" spans="1:6">
      <c r="A28" s="4" t="s">
        <v>71</v>
      </c>
      <c r="B28" s="9" t="s">
        <v>27</v>
      </c>
      <c r="D28" s="11"/>
      <c r="F28" s="7"/>
    </row>
    <row r="29" spans="1:6">
      <c r="A29" s="4" t="s">
        <v>72</v>
      </c>
      <c r="B29" s="9" t="s">
        <v>92</v>
      </c>
      <c r="D29" s="11"/>
      <c r="F29" s="7"/>
    </row>
    <row r="30" spans="1:6">
      <c r="A30" s="7" t="s">
        <v>32</v>
      </c>
      <c r="B30" s="11" t="s">
        <v>36</v>
      </c>
      <c r="D30" s="11"/>
      <c r="F30" s="7"/>
    </row>
    <row r="31" spans="1:6">
      <c r="A31" t="str">
        <f>C2</f>
        <v>Stochastic P</v>
      </c>
      <c r="D31" s="11"/>
      <c r="F31" s="7"/>
    </row>
    <row r="32" spans="1:6">
      <c r="A32" s="4" t="s">
        <v>74</v>
      </c>
      <c r="B32" s="9" t="s">
        <v>38</v>
      </c>
      <c r="D32" s="11"/>
      <c r="F32" s="7"/>
    </row>
    <row r="33" spans="1:6">
      <c r="A33" s="4" t="s">
        <v>73</v>
      </c>
      <c r="B33" s="9" t="s">
        <v>28</v>
      </c>
      <c r="D33" s="11"/>
      <c r="F33" s="7"/>
    </row>
    <row r="34" spans="1:6">
      <c r="A34" s="7" t="str">
        <f>D2</f>
        <v>Stochastic P &amp; C</v>
      </c>
      <c r="B34" s="11"/>
      <c r="C34" s="11"/>
      <c r="D34" s="11"/>
      <c r="F34" s="7"/>
    </row>
    <row r="35" spans="1:6">
      <c r="A35" s="4" t="s">
        <v>75</v>
      </c>
      <c r="B35" s="33" t="s">
        <v>29</v>
      </c>
    </row>
    <row r="36" spans="1:6">
      <c r="A36" s="4" t="s">
        <v>76</v>
      </c>
      <c r="B36" s="18" t="s">
        <v>88</v>
      </c>
      <c r="D36" s="7" t="s">
        <v>5</v>
      </c>
    </row>
    <row r="37" spans="1:6">
      <c r="A37" s="4" t="s">
        <v>77</v>
      </c>
      <c r="B37" s="9" t="s">
        <v>30</v>
      </c>
    </row>
    <row r="38" spans="1:6">
      <c r="A38" t="s">
        <v>11</v>
      </c>
      <c r="B38" s="9" t="s">
        <v>89</v>
      </c>
    </row>
    <row r="39" spans="1:6">
      <c r="A39" t="s">
        <v>12</v>
      </c>
      <c r="B39" s="9" t="s">
        <v>90</v>
      </c>
    </row>
    <row r="40" spans="1:6">
      <c r="A40" s="7" t="s">
        <v>17</v>
      </c>
      <c r="B40" s="10" t="s">
        <v>31</v>
      </c>
    </row>
    <row r="41" spans="1:6">
      <c r="A41" s="7" t="s">
        <v>5</v>
      </c>
      <c r="B41" s="9" t="s">
        <v>5</v>
      </c>
    </row>
    <row r="42" spans="1:6">
      <c r="A42" s="4" t="s">
        <v>18</v>
      </c>
      <c r="B42" s="9" t="s">
        <v>45</v>
      </c>
    </row>
    <row r="43" spans="1:6">
      <c r="C43" s="7" t="s">
        <v>41</v>
      </c>
    </row>
    <row r="44" spans="1:6">
      <c r="A44" s="4" t="s">
        <v>5</v>
      </c>
      <c r="B44" s="9" t="s">
        <v>23</v>
      </c>
      <c r="C44" s="7" t="s">
        <v>1</v>
      </c>
      <c r="D44" s="7" t="s">
        <v>7</v>
      </c>
    </row>
    <row r="45" spans="1:6">
      <c r="A45" s="13" t="str">
        <f>DATA!A43</f>
        <v>ANNUALIZED DRIFT</v>
      </c>
      <c r="B45" s="7" t="s">
        <v>5</v>
      </c>
      <c r="C45" s="14">
        <v>-0.02</v>
      </c>
      <c r="D45" s="14">
        <v>0.04</v>
      </c>
    </row>
    <row r="46" spans="1:6">
      <c r="A46" t="str">
        <f>DATA!A44</f>
        <v>VOLATILITY</v>
      </c>
      <c r="B46" s="7" t="s">
        <v>5</v>
      </c>
      <c r="C46" s="16">
        <v>0.3</v>
      </c>
      <c r="D46" s="16">
        <v>0.3</v>
      </c>
    </row>
    <row r="47" spans="1:6">
      <c r="A47" s="13" t="str">
        <f>DATA!A45</f>
        <v>CORRELATION</v>
      </c>
      <c r="B47" s="7" t="s">
        <v>5</v>
      </c>
      <c r="C47" s="16">
        <v>0</v>
      </c>
      <c r="D47" s="11" t="s">
        <v>5</v>
      </c>
    </row>
    <row r="48" spans="1:6">
      <c r="A48" s="7" t="s">
        <v>5</v>
      </c>
      <c r="B48" s="8" t="s">
        <v>5</v>
      </c>
    </row>
    <row r="49" spans="1:2">
      <c r="A49" s="7" t="s">
        <v>5</v>
      </c>
      <c r="B49" s="8" t="s">
        <v>5</v>
      </c>
    </row>
  </sheetData>
  <printOptions horizontalCentered="1"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DETERMINSTIC</vt:lpstr>
      <vt:lpstr>STOCHASTIC P</vt:lpstr>
      <vt:lpstr>FUNAIR_CASE_02_11</vt:lpstr>
    </vt:vector>
  </TitlesOfParts>
  <Company>Real Value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A. Paxson</dc:creator>
  <cp:lastModifiedBy>Windows User</cp:lastModifiedBy>
  <cp:lastPrinted>2013-03-23T18:13:23Z</cp:lastPrinted>
  <dcterms:created xsi:type="dcterms:W3CDTF">2006-02-06T20:13:39Z</dcterms:created>
  <dcterms:modified xsi:type="dcterms:W3CDTF">2014-01-08T22:48:31Z</dcterms:modified>
</cp:coreProperties>
</file>