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5160" activeTab="0"/>
  </bookViews>
  <sheets>
    <sheet name="Valuation" sheetId="1" r:id="rId1"/>
  </sheets>
  <definedNames/>
  <calcPr fullCalcOnLoad="1"/>
</workbook>
</file>

<file path=xl/sharedStrings.xml><?xml version="1.0" encoding="utf-8"?>
<sst xmlns="http://schemas.openxmlformats.org/spreadsheetml/2006/main" count="88" uniqueCount="76">
  <si>
    <t>Ke=Ku+D/E*(1-t)*(Ku-Kd)</t>
  </si>
  <si>
    <t>Km=ke*(1-D)+Kd*D*(1-t)</t>
  </si>
  <si>
    <t>C.MÉDIO</t>
  </si>
  <si>
    <t>Anos:</t>
  </si>
  <si>
    <t>Operational income</t>
  </si>
  <si>
    <t>Income taxes</t>
  </si>
  <si>
    <t>Depreciations</t>
  </si>
  <si>
    <t>CAPEX</t>
  </si>
  <si>
    <t>Increase in working capital requirements</t>
  </si>
  <si>
    <t>Free cash flow</t>
  </si>
  <si>
    <t>Sales</t>
  </si>
  <si>
    <t>Growth rate</t>
  </si>
  <si>
    <t>ASSUMPTIONS</t>
  </si>
  <si>
    <t>Annual growth rate</t>
  </si>
  <si>
    <t>Average growth terminal value</t>
  </si>
  <si>
    <t xml:space="preserve">Income tax </t>
  </si>
  <si>
    <t>Net operational profit after taxes</t>
  </si>
  <si>
    <t>Fixed assets turnover</t>
  </si>
  <si>
    <t>Fixed assets</t>
  </si>
  <si>
    <t>Depreciation to fixed assets</t>
  </si>
  <si>
    <t>WCR to sales</t>
  </si>
  <si>
    <t>Unlevered cost of capital</t>
  </si>
  <si>
    <t>Terminal value of operational assets</t>
  </si>
  <si>
    <t xml:space="preserve">   Divestments value</t>
  </si>
  <si>
    <t>= Business Value</t>
  </si>
  <si>
    <t xml:space="preserve">Tax shield </t>
  </si>
  <si>
    <t>Interest rate</t>
  </si>
  <si>
    <t>PV of FCF from Yrs 1 to 5</t>
  </si>
  <si>
    <t>Tax shield from Yrs 1 to 5</t>
  </si>
  <si>
    <t>Debt</t>
  </si>
  <si>
    <t>Payment period</t>
  </si>
  <si>
    <t>Reimbursement</t>
  </si>
  <si>
    <t>Debt service</t>
  </si>
  <si>
    <t>Interest payment</t>
  </si>
  <si>
    <t>Cost of debt</t>
  </si>
  <si>
    <t>Equity</t>
  </si>
  <si>
    <t>Average</t>
  </si>
  <si>
    <t>Capital structure</t>
  </si>
  <si>
    <t>Cost of capital</t>
  </si>
  <si>
    <t>Tax rate</t>
  </si>
  <si>
    <t xml:space="preserve">   WACC</t>
  </si>
  <si>
    <t xml:space="preserve">Weighted Average Cost of Capital (WACC) </t>
  </si>
  <si>
    <t xml:space="preserve">   Tax shield terminal value</t>
  </si>
  <si>
    <t>Tax shield</t>
  </si>
  <si>
    <t>APV</t>
  </si>
  <si>
    <t>Equity value</t>
  </si>
  <si>
    <t>Enterprise value</t>
  </si>
  <si>
    <t>= Unlevered Entreprise Value</t>
  </si>
  <si>
    <t>Unlevered enterprise value</t>
  </si>
  <si>
    <t>Cash and equivalents</t>
  </si>
  <si>
    <t>Number of shares (millions)</t>
  </si>
  <si>
    <t>Share value (EUR)</t>
  </si>
  <si>
    <t>WACC</t>
  </si>
  <si>
    <t>Terminal value</t>
  </si>
  <si>
    <t>Number of shares (Millions)</t>
  </si>
  <si>
    <t>a) Capital structure varies from Yrs 1 to 5</t>
  </si>
  <si>
    <t>(Million EUR)</t>
  </si>
  <si>
    <t>Operational free cash flow</t>
  </si>
  <si>
    <t>CHEMACO - Valuation</t>
  </si>
  <si>
    <t>EBITDA margin ratio</t>
  </si>
  <si>
    <t>EBITDA</t>
  </si>
  <si>
    <t>Working capital requirements</t>
  </si>
  <si>
    <t xml:space="preserve">   Total </t>
  </si>
  <si>
    <t xml:space="preserve">Business terminal value </t>
  </si>
  <si>
    <t>Unlevered business terminal value</t>
  </si>
  <si>
    <t>Total tax shield</t>
  </si>
  <si>
    <t>Divestments (million EUR)</t>
  </si>
  <si>
    <t>Major balance sheet items</t>
  </si>
  <si>
    <t>Major income items</t>
  </si>
  <si>
    <t>Divestments net of taxes</t>
  </si>
  <si>
    <t>Divestments Value</t>
  </si>
  <si>
    <t>CHEMACO - AVERAGE COST OF CAPITAL METHOD</t>
  </si>
  <si>
    <t>c) WACC should be based on market value which is not the case</t>
  </si>
  <si>
    <t>Difference between the two methods</t>
  </si>
  <si>
    <t>Explaining the differences between the two methods:</t>
  </si>
  <si>
    <t>b) WACC is constant from Yrs 1 through 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</si>
</sst>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&quot;Esc.&quot;_);\(#,##0\ &quot;Esc.&quot;\)"/>
    <numFmt numFmtId="173" formatCode="#,##0\ &quot;Esc.&quot;_);[Red]\(#,##0\ &quot;Esc.&quot;\)"/>
    <numFmt numFmtId="174" formatCode="#,##0.00\ &quot;Esc.&quot;_);\(#,##0.00\ &quot;Esc.&quot;\)"/>
    <numFmt numFmtId="175" formatCode="#,##0.00\ &quot;Esc.&quot;_);[Red]\(#,##0.00\ &quot;Esc.&quot;\)"/>
    <numFmt numFmtId="176" formatCode="_ * #,##0_)\ &quot;Esc.&quot;_ ;_ * \(#,##0\)\ &quot;Esc.&quot;_ ;_ * &quot;-&quot;_)\ &quot;Esc.&quot;_ ;_ @_ "/>
    <numFmt numFmtId="177" formatCode="_ * #,##0_)\ _E_s_c_._ ;_ * \(#,##0\)\ _E_s_c_._ ;_ * &quot;-&quot;_)\ _E_s_c_._ ;_ @_ "/>
    <numFmt numFmtId="178" formatCode="_ * #,##0.00_)\ &quot;Esc.&quot;_ ;_ * \(#,##0.00\)\ &quot;Esc.&quot;_ ;_ * &quot;-&quot;??_)\ &quot;Esc.&quot;_ ;_ @_ "/>
    <numFmt numFmtId="179" formatCode="_ * #,##0.00_)\ _E_s_c_._ ;_ * \(#,##0.00\)\ _E_s_c_._ ;_ * &quot;-&quot;??_)\ _E_s_c_._ ;_ @_ "/>
    <numFmt numFmtId="180" formatCode="0.0%"/>
    <numFmt numFmtId="181" formatCode="#,##0\);\(#,##0\)"/>
    <numFmt numFmtId="182" formatCode="#,##0;\(#,##0\)"/>
    <numFmt numFmtId="183" formatCode="#,##0.0;\(#,##0.0\)"/>
    <numFmt numFmtId="184" formatCode="#,##0.00;\(#,##0.00\)"/>
    <numFmt numFmtId="185" formatCode="_-* #,##0.00\ [$€-816]_-;\-* #,##0.00\ [$€-816]_-;_-* &quot;-&quot;??\ [$€-816]_-;_-@_-"/>
    <numFmt numFmtId="186" formatCode="0.000"/>
    <numFmt numFmtId="187" formatCode="0.0"/>
    <numFmt numFmtId="188" formatCode="0.00000"/>
    <numFmt numFmtId="189" formatCode="0.0000"/>
    <numFmt numFmtId="190" formatCode="#,##0.0\ &quot;Esc.&quot;_);[Red]\(#,##0.0\ &quot;Esc.&quot;\)"/>
    <numFmt numFmtId="191" formatCode="#,##0.00\ &quot;€&quot;;[Red]#,##0.00\ &quot;€&quot;"/>
  </numFmts>
  <fonts count="46">
    <font>
      <sz val="8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8"/>
      <name val="Arial"/>
      <family val="2"/>
    </font>
    <font>
      <b/>
      <sz val="8"/>
      <name val="MS Sans Serif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182" fontId="0" fillId="0" borderId="0" xfId="0" applyAlignment="1">
      <alignment/>
    </xf>
    <xf numFmtId="10" fontId="0" fillId="0" borderId="0" xfId="59" applyNumberFormat="1" applyFont="1" applyAlignment="1">
      <alignment/>
    </xf>
    <xf numFmtId="182" fontId="5" fillId="0" borderId="0" xfId="0" applyFont="1" applyAlignment="1">
      <alignment/>
    </xf>
    <xf numFmtId="9" fontId="0" fillId="0" borderId="0" xfId="59" applyFont="1" applyAlignment="1">
      <alignment/>
    </xf>
    <xf numFmtId="180" fontId="0" fillId="0" borderId="0" xfId="59" applyNumberFormat="1" applyFont="1" applyAlignment="1">
      <alignment/>
    </xf>
    <xf numFmtId="182" fontId="5" fillId="0" borderId="0" xfId="0" applyFont="1" applyAlignment="1">
      <alignment horizontal="center"/>
    </xf>
    <xf numFmtId="182" fontId="5" fillId="0" borderId="0" xfId="0" applyFont="1" applyAlignment="1">
      <alignment horizontal="right"/>
    </xf>
    <xf numFmtId="0" fontId="5" fillId="0" borderId="0" xfId="0" applyNumberFormat="1" applyFont="1" applyAlignment="1">
      <alignment horizontal="right"/>
    </xf>
    <xf numFmtId="182" fontId="0" fillId="0" borderId="0" xfId="0" applyFill="1" applyBorder="1" applyAlignment="1">
      <alignment horizontal="left"/>
    </xf>
    <xf numFmtId="182" fontId="0" fillId="0" borderId="10" xfId="0" applyFill="1" applyBorder="1" applyAlignment="1">
      <alignment horizontal="left"/>
    </xf>
    <xf numFmtId="182" fontId="5" fillId="0" borderId="10" xfId="0" applyFont="1" applyFill="1" applyBorder="1" applyAlignment="1">
      <alignment horizontal="left"/>
    </xf>
    <xf numFmtId="182" fontId="5" fillId="0" borderId="11" xfId="0" applyFont="1" applyFill="1" applyBorder="1" applyAlignment="1">
      <alignment horizontal="left"/>
    </xf>
    <xf numFmtId="182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82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182" fontId="0" fillId="0" borderId="11" xfId="0" applyFill="1" applyBorder="1" applyAlignment="1">
      <alignment horizontal="left"/>
    </xf>
    <xf numFmtId="3" fontId="5" fillId="0" borderId="11" xfId="0" applyNumberFormat="1" applyFont="1" applyFill="1" applyBorder="1" applyAlignment="1" quotePrefix="1">
      <alignment horizontal="right"/>
    </xf>
    <xf numFmtId="182" fontId="5" fillId="0" borderId="10" xfId="0" applyFont="1" applyFill="1" applyBorder="1" applyAlignment="1" quotePrefix="1">
      <alignment horizontal="left"/>
    </xf>
    <xf numFmtId="3" fontId="5" fillId="0" borderId="10" xfId="0" applyNumberFormat="1" applyFont="1" applyFill="1" applyBorder="1" applyAlignment="1">
      <alignment/>
    </xf>
    <xf numFmtId="10" fontId="0" fillId="0" borderId="10" xfId="59" applyNumberFormat="1" applyFont="1" applyFill="1" applyBorder="1" applyAlignment="1">
      <alignment/>
    </xf>
    <xf numFmtId="10" fontId="5" fillId="0" borderId="10" xfId="0" applyNumberFormat="1" applyFont="1" applyFill="1" applyBorder="1" applyAlignment="1">
      <alignment/>
    </xf>
    <xf numFmtId="182" fontId="5" fillId="0" borderId="11" xfId="0" applyFont="1" applyFill="1" applyBorder="1" applyAlignment="1" quotePrefix="1">
      <alignment horizontal="right"/>
    </xf>
    <xf numFmtId="3" fontId="5" fillId="0" borderId="11" xfId="0" applyNumberFormat="1" applyFont="1" applyFill="1" applyBorder="1" applyAlignment="1">
      <alignment/>
    </xf>
    <xf numFmtId="182" fontId="5" fillId="0" borderId="10" xfId="0" applyFont="1" applyFill="1" applyBorder="1" applyAlignment="1">
      <alignment/>
    </xf>
    <xf numFmtId="182" fontId="0" fillId="0" borderId="0" xfId="0" applyFont="1" applyAlignment="1">
      <alignment/>
    </xf>
    <xf numFmtId="182" fontId="5" fillId="0" borderId="12" xfId="0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/>
    </xf>
    <xf numFmtId="182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82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82" fontId="0" fillId="0" borderId="10" xfId="0" applyFont="1" applyFill="1" applyBorder="1" applyAlignment="1" quotePrefix="1">
      <alignment horizontal="left"/>
    </xf>
    <xf numFmtId="3" fontId="0" fillId="0" borderId="11" xfId="0" applyNumberFormat="1" applyFont="1" applyFill="1" applyBorder="1" applyAlignment="1">
      <alignment/>
    </xf>
    <xf numFmtId="182" fontId="0" fillId="0" borderId="11" xfId="0" applyFont="1" applyFill="1" applyBorder="1" applyAlignment="1">
      <alignment/>
    </xf>
    <xf numFmtId="182" fontId="6" fillId="0" borderId="12" xfId="0" applyFont="1" applyFill="1" applyBorder="1" applyAlignment="1" quotePrefix="1">
      <alignment horizontal="left"/>
    </xf>
    <xf numFmtId="182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2" fontId="6" fillId="0" borderId="10" xfId="0" applyFont="1" applyFill="1" applyBorder="1" applyAlignment="1">
      <alignment horizontal="center"/>
    </xf>
    <xf numFmtId="182" fontId="6" fillId="0" borderId="0" xfId="0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2" fontId="5" fillId="0" borderId="12" xfId="0" applyFont="1" applyFill="1" applyBorder="1" applyAlignment="1">
      <alignment horizontal="center"/>
    </xf>
    <xf numFmtId="182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82" fontId="0" fillId="0" borderId="0" xfId="0" applyFont="1" applyBorder="1" applyAlignment="1">
      <alignment horizontal="right"/>
    </xf>
    <xf numFmtId="182" fontId="5" fillId="0" borderId="11" xfId="0" applyFont="1" applyFill="1" applyBorder="1" applyAlignment="1" quotePrefix="1">
      <alignment horizontal="left"/>
    </xf>
    <xf numFmtId="182" fontId="6" fillId="0" borderId="12" xfId="0" applyFont="1" applyFill="1" applyBorder="1" applyAlignment="1">
      <alignment horizontal="left"/>
    </xf>
    <xf numFmtId="180" fontId="0" fillId="0" borderId="0" xfId="59" applyNumberFormat="1" applyFont="1" applyFill="1" applyBorder="1" applyAlignment="1">
      <alignment/>
    </xf>
    <xf numFmtId="182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5" fontId="0" fillId="0" borderId="11" xfId="44" applyNumberFormat="1" applyFont="1" applyFill="1" applyBorder="1" applyAlignment="1">
      <alignment/>
    </xf>
    <xf numFmtId="182" fontId="8" fillId="0" borderId="0" xfId="0" applyFont="1" applyAlignment="1" quotePrefix="1">
      <alignment horizontal="right"/>
    </xf>
    <xf numFmtId="182" fontId="7" fillId="0" borderId="13" xfId="0" applyFont="1" applyFill="1" applyBorder="1" applyAlignment="1">
      <alignment/>
    </xf>
    <xf numFmtId="182" fontId="8" fillId="0" borderId="13" xfId="0" applyFont="1" applyFill="1" applyBorder="1" applyAlignment="1">
      <alignment/>
    </xf>
    <xf numFmtId="182" fontId="7" fillId="0" borderId="13" xfId="0" applyFont="1" applyFill="1" applyBorder="1" applyAlignment="1">
      <alignment horizontal="center"/>
    </xf>
    <xf numFmtId="182" fontId="0" fillId="0" borderId="13" xfId="0" applyFont="1" applyFill="1" applyBorder="1" applyAlignment="1">
      <alignment/>
    </xf>
    <xf numFmtId="182" fontId="0" fillId="0" borderId="14" xfId="0" applyFont="1" applyBorder="1" applyAlignment="1">
      <alignment horizontal="right"/>
    </xf>
    <xf numFmtId="182" fontId="0" fillId="0" borderId="15" xfId="0" applyFill="1" applyBorder="1" applyAlignment="1">
      <alignment horizontal="left"/>
    </xf>
    <xf numFmtId="182" fontId="0" fillId="0" borderId="15" xfId="0" applyFont="1" applyFill="1" applyBorder="1" applyAlignment="1">
      <alignment horizontal="left"/>
    </xf>
    <xf numFmtId="180" fontId="0" fillId="0" borderId="15" xfId="0" applyNumberFormat="1" applyFont="1" applyFill="1" applyBorder="1" applyAlignment="1" quotePrefix="1">
      <alignment horizontal="right"/>
    </xf>
    <xf numFmtId="182" fontId="0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82" fontId="0" fillId="0" borderId="0" xfId="0" applyFont="1" applyBorder="1" applyAlignment="1">
      <alignment/>
    </xf>
    <xf numFmtId="182" fontId="5" fillId="0" borderId="16" xfId="0" applyFont="1" applyFill="1" applyBorder="1" applyAlignment="1">
      <alignment horizontal="left"/>
    </xf>
    <xf numFmtId="182" fontId="0" fillId="0" borderId="16" xfId="0" applyFont="1" applyBorder="1" applyAlignment="1">
      <alignment horizontal="left"/>
    </xf>
    <xf numFmtId="182" fontId="0" fillId="0" borderId="16" xfId="0" applyFont="1" applyBorder="1" applyAlignment="1">
      <alignment horizontal="center"/>
    </xf>
    <xf numFmtId="182" fontId="0" fillId="0" borderId="16" xfId="0" applyFont="1" applyBorder="1" applyAlignment="1">
      <alignment horizontal="right"/>
    </xf>
    <xf numFmtId="9" fontId="0" fillId="0" borderId="16" xfId="59" applyFont="1" applyBorder="1" applyAlignment="1">
      <alignment horizontal="right"/>
    </xf>
    <xf numFmtId="180" fontId="0" fillId="0" borderId="16" xfId="0" applyNumberFormat="1" applyFont="1" applyFill="1" applyBorder="1" applyAlignment="1">
      <alignment horizontal="right"/>
    </xf>
    <xf numFmtId="182" fontId="0" fillId="0" borderId="16" xfId="0" applyBorder="1" applyAlignment="1">
      <alignment horizontal="left"/>
    </xf>
    <xf numFmtId="184" fontId="0" fillId="0" borderId="16" xfId="0" applyNumberFormat="1" applyFont="1" applyBorder="1" applyAlignment="1">
      <alignment horizontal="right"/>
    </xf>
    <xf numFmtId="180" fontId="0" fillId="0" borderId="16" xfId="59" applyNumberFormat="1" applyFont="1" applyBorder="1" applyAlignment="1">
      <alignment horizontal="right"/>
    </xf>
    <xf numFmtId="182" fontId="0" fillId="0" borderId="16" xfId="0" applyFill="1" applyBorder="1" applyAlignment="1">
      <alignment horizontal="left"/>
    </xf>
    <xf numFmtId="182" fontId="0" fillId="0" borderId="16" xfId="0" applyFont="1" applyFill="1" applyBorder="1" applyAlignment="1">
      <alignment horizontal="left"/>
    </xf>
    <xf numFmtId="3" fontId="0" fillId="0" borderId="16" xfId="0" applyNumberFormat="1" applyFont="1" applyFill="1" applyBorder="1" applyAlignment="1">
      <alignment/>
    </xf>
    <xf numFmtId="182" fontId="0" fillId="0" borderId="16" xfId="0" applyFont="1" applyBorder="1" applyAlignment="1">
      <alignment/>
    </xf>
    <xf numFmtId="182" fontId="0" fillId="0" borderId="17" xfId="0" applyFont="1" applyBorder="1" applyAlignment="1">
      <alignment horizontal="left"/>
    </xf>
    <xf numFmtId="182" fontId="0" fillId="0" borderId="17" xfId="0" applyFont="1" applyBorder="1" applyAlignment="1">
      <alignment horizontal="center"/>
    </xf>
    <xf numFmtId="182" fontId="0" fillId="0" borderId="17" xfId="0" applyFont="1" applyBorder="1" applyAlignment="1">
      <alignment horizontal="right"/>
    </xf>
    <xf numFmtId="9" fontId="0" fillId="0" borderId="17" xfId="59" applyFont="1" applyBorder="1" applyAlignment="1">
      <alignment horizontal="right"/>
    </xf>
    <xf numFmtId="182" fontId="5" fillId="0" borderId="18" xfId="0" applyFont="1" applyFill="1" applyBorder="1" applyAlignment="1">
      <alignment horizontal="left"/>
    </xf>
    <xf numFmtId="182" fontId="5" fillId="0" borderId="18" xfId="0" applyFont="1" applyFill="1" applyBorder="1" applyAlignment="1" quotePrefix="1">
      <alignment horizontal="left"/>
    </xf>
    <xf numFmtId="0" fontId="5" fillId="0" borderId="18" xfId="0" applyNumberFormat="1" applyFont="1" applyFill="1" applyBorder="1" applyAlignment="1">
      <alignment/>
    </xf>
    <xf numFmtId="182" fontId="0" fillId="0" borderId="18" xfId="0" applyFill="1" applyBorder="1" applyAlignment="1">
      <alignment horizontal="left"/>
    </xf>
    <xf numFmtId="182" fontId="0" fillId="0" borderId="18" xfId="0" applyFont="1" applyFill="1" applyBorder="1" applyAlignment="1">
      <alignment horizontal="left"/>
    </xf>
    <xf numFmtId="182" fontId="0" fillId="0" borderId="18" xfId="0" applyFont="1" applyFill="1" applyBorder="1" applyAlignment="1" quotePrefix="1">
      <alignment/>
    </xf>
    <xf numFmtId="3" fontId="0" fillId="0" borderId="18" xfId="0" applyNumberFormat="1" applyFont="1" applyFill="1" applyBorder="1" applyAlignment="1">
      <alignment/>
    </xf>
    <xf numFmtId="182" fontId="0" fillId="0" borderId="18" xfId="0" applyFont="1" applyBorder="1" applyAlignment="1">
      <alignment/>
    </xf>
    <xf numFmtId="182" fontId="0" fillId="0" borderId="19" xfId="0" applyFont="1" applyFill="1" applyBorder="1" applyAlignment="1">
      <alignment horizontal="left"/>
    </xf>
    <xf numFmtId="182" fontId="5" fillId="0" borderId="16" xfId="0" applyFont="1" applyBorder="1" applyAlignment="1">
      <alignment horizontal="left"/>
    </xf>
    <xf numFmtId="182" fontId="0" fillId="0" borderId="16" xfId="0" applyBorder="1" applyAlignment="1">
      <alignment horizontal="left" indent="1"/>
    </xf>
    <xf numFmtId="182" fontId="6" fillId="0" borderId="16" xfId="0" applyFont="1" applyBorder="1" applyAlignment="1">
      <alignment/>
    </xf>
    <xf numFmtId="182" fontId="0" fillId="0" borderId="17" xfId="0" applyBorder="1" applyAlignment="1">
      <alignment horizontal="left" indent="1"/>
    </xf>
    <xf numFmtId="182" fontId="5" fillId="0" borderId="18" xfId="0" applyFont="1" applyBorder="1" applyAlignment="1">
      <alignment horizontal="left"/>
    </xf>
    <xf numFmtId="182" fontId="0" fillId="0" borderId="18" xfId="0" applyFont="1" applyBorder="1" applyAlignment="1">
      <alignment horizontal="center"/>
    </xf>
    <xf numFmtId="182" fontId="0" fillId="0" borderId="16" xfId="0" applyFont="1" applyFill="1" applyBorder="1" applyAlignment="1" quotePrefix="1">
      <alignment horizontal="left"/>
    </xf>
    <xf numFmtId="3" fontId="5" fillId="0" borderId="16" xfId="0" applyNumberFormat="1" applyFont="1" applyFill="1" applyBorder="1" applyAlignment="1">
      <alignment/>
    </xf>
    <xf numFmtId="182" fontId="0" fillId="0" borderId="16" xfId="0" applyFont="1" applyFill="1" applyBorder="1" applyAlignment="1">
      <alignment/>
    </xf>
    <xf numFmtId="182" fontId="0" fillId="0" borderId="17" xfId="0" applyFont="1" applyFill="1" applyBorder="1" applyAlignment="1">
      <alignment horizontal="left"/>
    </xf>
    <xf numFmtId="182" fontId="0" fillId="0" borderId="17" xfId="0" applyFont="1" applyFill="1" applyBorder="1" applyAlignment="1" quotePrefix="1">
      <alignment horizontal="left"/>
    </xf>
    <xf numFmtId="3" fontId="0" fillId="0" borderId="17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91" fontId="0" fillId="0" borderId="0" xfId="44" applyNumberFormat="1" applyFont="1" applyAlignment="1">
      <alignment/>
    </xf>
    <xf numFmtId="182" fontId="0" fillId="0" borderId="0" xfId="0" applyAlignment="1">
      <alignment horizontal="left" indent="1"/>
    </xf>
    <xf numFmtId="182" fontId="0" fillId="0" borderId="0" xfId="0" applyFont="1" applyAlignment="1">
      <alignment horizontal="left" indent="1"/>
    </xf>
    <xf numFmtId="182" fontId="5" fillId="0" borderId="0" xfId="0" applyFont="1" applyBorder="1" applyAlignment="1">
      <alignment horizontal="center"/>
    </xf>
    <xf numFmtId="182" fontId="5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="150" zoomScaleNormal="150" zoomScalePageLayoutView="0" workbookViewId="0" topLeftCell="A31">
      <selection activeCell="D39" sqref="D39"/>
    </sheetView>
  </sheetViews>
  <sheetFormatPr defaultColWidth="9.33203125" defaultRowHeight="11.25"/>
  <cols>
    <col min="1" max="1" width="41.5" style="25" customWidth="1"/>
    <col min="2" max="2" width="10" style="25" hidden="1" customWidth="1"/>
    <col min="3" max="8" width="8.83203125" style="25" customWidth="1"/>
    <col min="9" max="16384" width="9.33203125" style="25" customWidth="1"/>
  </cols>
  <sheetData>
    <row r="1" spans="1:8" ht="11.25">
      <c r="A1" s="111" t="s">
        <v>58</v>
      </c>
      <c r="B1" s="111"/>
      <c r="C1" s="111"/>
      <c r="D1" s="111"/>
      <c r="E1" s="111"/>
      <c r="F1" s="111"/>
      <c r="G1" s="111"/>
      <c r="H1" s="111"/>
    </row>
    <row r="2" spans="1:8" ht="12" thickBot="1">
      <c r="A2" s="85" t="s">
        <v>12</v>
      </c>
      <c r="B2" s="86"/>
      <c r="C2" s="87">
        <v>2014</v>
      </c>
      <c r="D2" s="87">
        <f>+C2+1</f>
        <v>2015</v>
      </c>
      <c r="E2" s="87">
        <f>+D2+1</f>
        <v>2016</v>
      </c>
      <c r="F2" s="87">
        <f>+E2+1</f>
        <v>2017</v>
      </c>
      <c r="G2" s="87">
        <f>+F2+1</f>
        <v>2018</v>
      </c>
      <c r="H2" s="87">
        <f>+G2+1</f>
        <v>2019</v>
      </c>
    </row>
    <row r="3" spans="1:8" ht="11.25">
      <c r="A3" s="81" t="s">
        <v>13</v>
      </c>
      <c r="B3" s="82"/>
      <c r="C3" s="83"/>
      <c r="D3" s="84">
        <v>0.05</v>
      </c>
      <c r="E3" s="84">
        <v>0.04</v>
      </c>
      <c r="F3" s="84">
        <v>0.03</v>
      </c>
      <c r="G3" s="84">
        <v>0.03</v>
      </c>
      <c r="H3" s="84">
        <f>+H4</f>
        <v>0.03</v>
      </c>
    </row>
    <row r="4" spans="1:8" ht="11.25">
      <c r="A4" s="69" t="s">
        <v>14</v>
      </c>
      <c r="B4" s="70"/>
      <c r="C4" s="71"/>
      <c r="D4" s="71"/>
      <c r="E4" s="71"/>
      <c r="F4" s="71"/>
      <c r="G4" s="71"/>
      <c r="H4" s="73">
        <v>0.03</v>
      </c>
    </row>
    <row r="5" spans="1:8" ht="11.25">
      <c r="A5" s="74" t="s">
        <v>59</v>
      </c>
      <c r="B5" s="70"/>
      <c r="C5" s="72">
        <v>0.18</v>
      </c>
      <c r="D5" s="72">
        <v>0.2</v>
      </c>
      <c r="E5" s="72">
        <v>0.22</v>
      </c>
      <c r="F5" s="72">
        <v>0.22</v>
      </c>
      <c r="G5" s="72">
        <v>0.22</v>
      </c>
      <c r="H5" s="72">
        <v>0.22</v>
      </c>
    </row>
    <row r="6" spans="1:8" ht="11.25">
      <c r="A6" s="69" t="s">
        <v>15</v>
      </c>
      <c r="B6" s="70"/>
      <c r="C6" s="73">
        <v>0.25</v>
      </c>
      <c r="D6" s="71"/>
      <c r="E6" s="71"/>
      <c r="F6" s="71"/>
      <c r="G6" s="71"/>
      <c r="H6" s="71"/>
    </row>
    <row r="7" spans="1:8" ht="11.25">
      <c r="A7" s="74" t="s">
        <v>17</v>
      </c>
      <c r="B7" s="70"/>
      <c r="C7" s="75">
        <v>1.6</v>
      </c>
      <c r="D7" s="75">
        <v>2</v>
      </c>
      <c r="E7" s="75">
        <v>2</v>
      </c>
      <c r="F7" s="75">
        <v>2</v>
      </c>
      <c r="G7" s="75">
        <v>2</v>
      </c>
      <c r="H7" s="75">
        <v>2</v>
      </c>
    </row>
    <row r="8" spans="1:8" ht="11.25">
      <c r="A8" s="74" t="s">
        <v>19</v>
      </c>
      <c r="B8" s="70"/>
      <c r="C8" s="76">
        <v>0.06</v>
      </c>
      <c r="D8" s="76">
        <v>0.06</v>
      </c>
      <c r="E8" s="76">
        <v>0.06</v>
      </c>
      <c r="F8" s="76">
        <v>0.06</v>
      </c>
      <c r="G8" s="76">
        <v>0.06</v>
      </c>
      <c r="H8" s="76">
        <v>0.06</v>
      </c>
    </row>
    <row r="9" spans="1:8" ht="11.25">
      <c r="A9" s="74" t="s">
        <v>20</v>
      </c>
      <c r="B9" s="70"/>
      <c r="C9" s="72">
        <v>0.2</v>
      </c>
      <c r="D9" s="72">
        <v>0.18</v>
      </c>
      <c r="E9" s="72">
        <v>0.18</v>
      </c>
      <c r="F9" s="72">
        <v>0.18</v>
      </c>
      <c r="G9" s="72">
        <v>0.18</v>
      </c>
      <c r="H9" s="72">
        <v>0.18</v>
      </c>
    </row>
    <row r="10" spans="1:8" ht="12" thickBot="1">
      <c r="A10" s="88" t="s">
        <v>66</v>
      </c>
      <c r="B10" s="89"/>
      <c r="C10" s="90"/>
      <c r="D10" s="91">
        <v>145</v>
      </c>
      <c r="E10" s="91">
        <v>80</v>
      </c>
      <c r="F10" s="91">
        <v>0</v>
      </c>
      <c r="G10" s="91">
        <v>0</v>
      </c>
      <c r="H10" s="92">
        <v>0</v>
      </c>
    </row>
    <row r="11" spans="1:8" ht="11.25">
      <c r="A11" s="93"/>
      <c r="B11" s="93"/>
      <c r="C11" s="56" t="s">
        <v>56</v>
      </c>
      <c r="D11" s="29"/>
      <c r="E11" s="29"/>
      <c r="F11" s="29"/>
      <c r="G11" s="29"/>
      <c r="H11" s="67"/>
    </row>
    <row r="12" spans="1:8" ht="12" thickBot="1">
      <c r="A12" s="98" t="s">
        <v>67</v>
      </c>
      <c r="B12" s="99"/>
      <c r="C12" s="87">
        <v>2014</v>
      </c>
      <c r="D12" s="49"/>
      <c r="E12" s="49"/>
      <c r="F12" s="49"/>
      <c r="G12" s="49"/>
      <c r="H12" s="49"/>
    </row>
    <row r="13" spans="1:8" ht="11.25">
      <c r="A13" s="97" t="s">
        <v>18</v>
      </c>
      <c r="B13" s="82"/>
      <c r="C13" s="83">
        <f aca="true" t="shared" si="0" ref="C13:H13">+C19/C7</f>
        <v>1375</v>
      </c>
      <c r="D13" s="49">
        <f t="shared" si="0"/>
        <v>1155</v>
      </c>
      <c r="E13" s="49">
        <f t="shared" si="0"/>
        <v>1201</v>
      </c>
      <c r="F13" s="49">
        <f t="shared" si="0"/>
        <v>1237</v>
      </c>
      <c r="G13" s="49">
        <f t="shared" si="0"/>
        <v>1274</v>
      </c>
      <c r="H13" s="49">
        <f t="shared" si="0"/>
        <v>1312</v>
      </c>
    </row>
    <row r="14" spans="1:8" ht="11.25">
      <c r="A14" s="95" t="s">
        <v>61</v>
      </c>
      <c r="B14" s="70"/>
      <c r="C14" s="71">
        <f aca="true" t="shared" si="1" ref="C14:H14">+C9*C19</f>
        <v>440</v>
      </c>
      <c r="D14" s="49">
        <f t="shared" si="1"/>
        <v>415.8</v>
      </c>
      <c r="E14" s="49">
        <f t="shared" si="1"/>
        <v>432.35999999999996</v>
      </c>
      <c r="F14" s="49">
        <f t="shared" si="1"/>
        <v>445.32</v>
      </c>
      <c r="G14" s="49">
        <f t="shared" si="1"/>
        <v>458.64</v>
      </c>
      <c r="H14" s="49">
        <f t="shared" si="1"/>
        <v>472.32</v>
      </c>
    </row>
    <row r="15" spans="1:8" ht="11.25">
      <c r="A15" s="95" t="s">
        <v>49</v>
      </c>
      <c r="B15" s="70"/>
      <c r="C15" s="71">
        <f>(C19-C20)/12</f>
        <v>150.33333333333334</v>
      </c>
      <c r="D15" s="49"/>
      <c r="E15" s="49"/>
      <c r="F15" s="49"/>
      <c r="G15" s="49"/>
      <c r="H15" s="49"/>
    </row>
    <row r="16" spans="1:8" ht="12" thickBot="1">
      <c r="A16" s="94" t="s">
        <v>62</v>
      </c>
      <c r="B16" s="96"/>
      <c r="C16" s="80">
        <f>SUM(C13:C15)</f>
        <v>1965.3333333333333</v>
      </c>
      <c r="D16" s="61"/>
      <c r="E16" s="61"/>
      <c r="F16" s="61"/>
      <c r="G16" s="61"/>
      <c r="H16" s="61"/>
    </row>
    <row r="17" spans="3:8" ht="11.25">
      <c r="C17" s="56" t="s">
        <v>56</v>
      </c>
      <c r="H17" s="56" t="s">
        <v>56</v>
      </c>
    </row>
    <row r="18" spans="1:8" ht="12" thickBot="1">
      <c r="A18" s="85" t="s">
        <v>68</v>
      </c>
      <c r="B18" s="86"/>
      <c r="C18" s="87">
        <f aca="true" t="shared" si="2" ref="C18:H18">+C2</f>
        <v>2014</v>
      </c>
      <c r="D18" s="87">
        <f t="shared" si="2"/>
        <v>2015</v>
      </c>
      <c r="E18" s="87">
        <f t="shared" si="2"/>
        <v>2016</v>
      </c>
      <c r="F18" s="87">
        <f t="shared" si="2"/>
        <v>2017</v>
      </c>
      <c r="G18" s="87">
        <f t="shared" si="2"/>
        <v>2018</v>
      </c>
      <c r="H18" s="87">
        <f t="shared" si="2"/>
        <v>2019</v>
      </c>
    </row>
    <row r="19" spans="1:8" ht="11.25">
      <c r="A19" s="103" t="s">
        <v>10</v>
      </c>
      <c r="B19" s="104"/>
      <c r="C19" s="105">
        <v>2200</v>
      </c>
      <c r="D19" s="106">
        <f>ROUND(+C19*(1+D3),0)</f>
        <v>2310</v>
      </c>
      <c r="E19" s="106">
        <f>ROUND(+D19*(1+E3),0)</f>
        <v>2402</v>
      </c>
      <c r="F19" s="106">
        <f>ROUND(+E19*(1+F3),0)</f>
        <v>2474</v>
      </c>
      <c r="G19" s="106">
        <f>ROUND(+F19*(1+G3),0)</f>
        <v>2548</v>
      </c>
      <c r="H19" s="106">
        <f>ROUND(+G19*(1+H3),0)</f>
        <v>2624</v>
      </c>
    </row>
    <row r="20" spans="1:8" ht="11.25">
      <c r="A20" s="77" t="s">
        <v>60</v>
      </c>
      <c r="B20" s="100"/>
      <c r="C20" s="79">
        <f aca="true" t="shared" si="3" ref="C20:H20">+C19*C5</f>
        <v>396</v>
      </c>
      <c r="D20" s="79">
        <f t="shared" si="3"/>
        <v>462</v>
      </c>
      <c r="E20" s="79">
        <f t="shared" si="3"/>
        <v>528.44</v>
      </c>
      <c r="F20" s="79">
        <f t="shared" si="3"/>
        <v>544.28</v>
      </c>
      <c r="G20" s="79">
        <f t="shared" si="3"/>
        <v>560.5600000000001</v>
      </c>
      <c r="H20" s="79">
        <f t="shared" si="3"/>
        <v>577.28</v>
      </c>
    </row>
    <row r="21" spans="1:8" ht="11.25">
      <c r="A21" s="78" t="s">
        <v>6</v>
      </c>
      <c r="B21" s="78"/>
      <c r="C21" s="79">
        <f aca="true" t="shared" si="4" ref="C21:H21">+C13*C8</f>
        <v>82.5</v>
      </c>
      <c r="D21" s="79">
        <f t="shared" si="4"/>
        <v>69.3</v>
      </c>
      <c r="E21" s="79">
        <f t="shared" si="4"/>
        <v>72.06</v>
      </c>
      <c r="F21" s="79">
        <f t="shared" si="4"/>
        <v>74.22</v>
      </c>
      <c r="G21" s="79">
        <f t="shared" si="4"/>
        <v>76.44</v>
      </c>
      <c r="H21" s="79">
        <f t="shared" si="4"/>
        <v>78.72</v>
      </c>
    </row>
    <row r="22" spans="1:8" ht="11.25">
      <c r="A22" s="78" t="s">
        <v>4</v>
      </c>
      <c r="B22" s="78"/>
      <c r="C22" s="79">
        <f aca="true" t="shared" si="5" ref="C22:H22">+C20-C21</f>
        <v>313.5</v>
      </c>
      <c r="D22" s="79">
        <f t="shared" si="5"/>
        <v>392.7</v>
      </c>
      <c r="E22" s="79">
        <f t="shared" si="5"/>
        <v>456.38000000000005</v>
      </c>
      <c r="F22" s="79">
        <f t="shared" si="5"/>
        <v>470.05999999999995</v>
      </c>
      <c r="G22" s="79">
        <f t="shared" si="5"/>
        <v>484.12000000000006</v>
      </c>
      <c r="H22" s="79">
        <f t="shared" si="5"/>
        <v>498.55999999999995</v>
      </c>
    </row>
    <row r="23" spans="1:8" ht="11.25">
      <c r="A23" s="78" t="s">
        <v>5</v>
      </c>
      <c r="B23" s="78"/>
      <c r="C23" s="79">
        <f aca="true" t="shared" si="6" ref="C23:H23">+$C$6*C22</f>
        <v>78.375</v>
      </c>
      <c r="D23" s="79">
        <f t="shared" si="6"/>
        <v>98.175</v>
      </c>
      <c r="E23" s="79">
        <f t="shared" si="6"/>
        <v>114.09500000000001</v>
      </c>
      <c r="F23" s="79">
        <f t="shared" si="6"/>
        <v>117.51499999999999</v>
      </c>
      <c r="G23" s="79">
        <f t="shared" si="6"/>
        <v>121.03000000000002</v>
      </c>
      <c r="H23" s="79">
        <f t="shared" si="6"/>
        <v>124.63999999999999</v>
      </c>
    </row>
    <row r="24" spans="1:8" ht="12" thickBot="1">
      <c r="A24" s="85" t="s">
        <v>16</v>
      </c>
      <c r="B24" s="85"/>
      <c r="C24" s="107">
        <f aca="true" t="shared" si="7" ref="C24:H24">+C22-C23</f>
        <v>235.125</v>
      </c>
      <c r="D24" s="107">
        <f t="shared" si="7"/>
        <v>294.525</v>
      </c>
      <c r="E24" s="107">
        <f t="shared" si="7"/>
        <v>342.285</v>
      </c>
      <c r="F24" s="107">
        <f t="shared" si="7"/>
        <v>352.54499999999996</v>
      </c>
      <c r="G24" s="107">
        <f t="shared" si="7"/>
        <v>363.09000000000003</v>
      </c>
      <c r="H24" s="107">
        <f t="shared" si="7"/>
        <v>373.91999999999996</v>
      </c>
    </row>
    <row r="25" spans="1:8" ht="11.25">
      <c r="A25" s="103" t="s">
        <v>7</v>
      </c>
      <c r="B25" s="103"/>
      <c r="C25" s="105"/>
      <c r="D25" s="105">
        <f>+D13-C13+D21</f>
        <v>-150.7</v>
      </c>
      <c r="E25" s="105">
        <f>+E13-D13+E21</f>
        <v>118.06</v>
      </c>
      <c r="F25" s="105">
        <f>+F13-E13+F21</f>
        <v>110.22</v>
      </c>
      <c r="G25" s="105">
        <f>+G13-F13+G21</f>
        <v>113.44</v>
      </c>
      <c r="H25" s="105">
        <f>+H13-G13+H21</f>
        <v>116.72</v>
      </c>
    </row>
    <row r="26" spans="1:8" ht="11.25">
      <c r="A26" s="78" t="s">
        <v>8</v>
      </c>
      <c r="B26" s="78"/>
      <c r="C26" s="102"/>
      <c r="D26" s="102">
        <f>+D14-C14</f>
        <v>-24.19999999999999</v>
      </c>
      <c r="E26" s="102">
        <f>+E14-D14</f>
        <v>16.559999999999945</v>
      </c>
      <c r="F26" s="102">
        <f>+F14-E14</f>
        <v>12.960000000000036</v>
      </c>
      <c r="G26" s="102">
        <f>+G14-F14</f>
        <v>13.319999999999993</v>
      </c>
      <c r="H26" s="102">
        <f>+H14-G14</f>
        <v>13.680000000000007</v>
      </c>
    </row>
    <row r="27" spans="1:8" ht="11.25">
      <c r="A27" s="68" t="s">
        <v>57</v>
      </c>
      <c r="B27" s="68"/>
      <c r="C27" s="101"/>
      <c r="D27" s="101">
        <f>+D24+D21-D25-D26</f>
        <v>538.7249999999999</v>
      </c>
      <c r="E27" s="101">
        <f>+E24+E21-E25-E26</f>
        <v>279.7250000000001</v>
      </c>
      <c r="F27" s="101">
        <f>+F24+F21-F25-F26</f>
        <v>303.5849999999999</v>
      </c>
      <c r="G27" s="101">
        <f>+G24+G21-G25-G26</f>
        <v>312.77000000000004</v>
      </c>
      <c r="H27" s="101">
        <f>+H24+H21-H25-H26</f>
        <v>322.23999999999995</v>
      </c>
    </row>
    <row r="28" spans="1:8" ht="12" thickBot="1">
      <c r="A28" s="89" t="s">
        <v>69</v>
      </c>
      <c r="B28" s="89"/>
      <c r="C28" s="90"/>
      <c r="D28" s="91">
        <v>145</v>
      </c>
      <c r="E28" s="91">
        <v>80</v>
      </c>
      <c r="F28" s="91"/>
      <c r="G28" s="91"/>
      <c r="H28" s="92"/>
    </row>
    <row r="29" spans="1:8" ht="11.25">
      <c r="A29" s="62" t="s">
        <v>21</v>
      </c>
      <c r="B29" s="63"/>
      <c r="C29" s="64">
        <v>0.12</v>
      </c>
      <c r="D29" s="65"/>
      <c r="E29" s="66"/>
      <c r="F29" s="66"/>
      <c r="G29" s="66"/>
      <c r="H29" s="66"/>
    </row>
    <row r="30" spans="1:8" ht="11.25">
      <c r="A30" s="9" t="s">
        <v>27</v>
      </c>
      <c r="B30" s="33"/>
      <c r="C30" s="32">
        <f>NPV($C$29,D27:H27)</f>
        <v>1301.7039475855481</v>
      </c>
      <c r="D30" s="31"/>
      <c r="E30" s="32"/>
      <c r="F30" s="32"/>
      <c r="G30" s="32"/>
      <c r="H30" s="32"/>
    </row>
    <row r="31" spans="1:8" ht="11.25">
      <c r="A31" s="9" t="s">
        <v>22</v>
      </c>
      <c r="B31" s="33"/>
      <c r="C31" s="32">
        <f>H31/(1+C29)^(H18-C18)</f>
        <v>2092.589543181825</v>
      </c>
      <c r="D31" s="31"/>
      <c r="E31" s="32"/>
      <c r="F31" s="32"/>
      <c r="G31" s="32"/>
      <c r="H31" s="15">
        <f>H27*(1+H4)/(C29-H4)</f>
        <v>3687.8577777777773</v>
      </c>
    </row>
    <row r="32" spans="1:8" ht="11.25">
      <c r="A32" s="18" t="s">
        <v>24</v>
      </c>
      <c r="B32" s="18"/>
      <c r="C32" s="19">
        <f>+C30+C31</f>
        <v>3394.293490767373</v>
      </c>
      <c r="D32" s="31"/>
      <c r="E32" s="32"/>
      <c r="F32" s="32"/>
      <c r="G32" s="32"/>
      <c r="H32" s="32"/>
    </row>
    <row r="33" spans="1:8" ht="11.25">
      <c r="A33" s="10" t="s">
        <v>23</v>
      </c>
      <c r="B33" s="18"/>
      <c r="C33" s="19">
        <f>NPV(C29,D28:H28)</f>
        <v>193.23979591836732</v>
      </c>
      <c r="D33" s="31"/>
      <c r="E33" s="32"/>
      <c r="F33" s="32"/>
      <c r="G33" s="32"/>
      <c r="H33" s="32"/>
    </row>
    <row r="34" spans="1:8" ht="12" thickBot="1">
      <c r="A34" s="50" t="s">
        <v>47</v>
      </c>
      <c r="B34" s="11"/>
      <c r="C34" s="17">
        <f>+C32+C33</f>
        <v>3587.53328668574</v>
      </c>
      <c r="D34" s="34"/>
      <c r="E34" s="34"/>
      <c r="F34" s="34"/>
      <c r="G34" s="34"/>
      <c r="H34" s="34"/>
    </row>
    <row r="35" spans="1:8" ht="11.25">
      <c r="A35" s="51" t="s">
        <v>32</v>
      </c>
      <c r="B35" s="36"/>
      <c r="C35" s="27">
        <f aca="true" t="shared" si="8" ref="C35:H35">+C18</f>
        <v>2014</v>
      </c>
      <c r="D35" s="27">
        <f t="shared" si="8"/>
        <v>2015</v>
      </c>
      <c r="E35" s="27">
        <f t="shared" si="8"/>
        <v>2016</v>
      </c>
      <c r="F35" s="27">
        <f t="shared" si="8"/>
        <v>2017</v>
      </c>
      <c r="G35" s="27">
        <f t="shared" si="8"/>
        <v>2018</v>
      </c>
      <c r="H35" s="27">
        <f t="shared" si="8"/>
        <v>2019</v>
      </c>
    </row>
    <row r="36" spans="1:9" ht="11.25">
      <c r="A36" s="12" t="s">
        <v>29</v>
      </c>
      <c r="B36" s="37"/>
      <c r="C36" s="38">
        <v>1300</v>
      </c>
      <c r="D36" s="37">
        <f>+C36-D41</f>
        <v>1113.6285829826359</v>
      </c>
      <c r="E36" s="37">
        <f>+D36-E41</f>
        <v>916.0748809442298</v>
      </c>
      <c r="F36" s="37">
        <f>+E36-F41</f>
        <v>706.6679567835193</v>
      </c>
      <c r="G36" s="37">
        <f>+F36-G41</f>
        <v>484.6966171731663</v>
      </c>
      <c r="H36" s="37">
        <f>+G36-H41</f>
        <v>249.4069971861921</v>
      </c>
      <c r="I36" s="37"/>
    </row>
    <row r="37" spans="1:9" ht="11.25">
      <c r="A37" s="12" t="s">
        <v>30</v>
      </c>
      <c r="B37" s="37"/>
      <c r="C37" s="38">
        <v>6</v>
      </c>
      <c r="D37" s="37"/>
      <c r="E37" s="37"/>
      <c r="F37" s="37"/>
      <c r="G37" s="41"/>
      <c r="H37" s="38"/>
      <c r="I37" s="38"/>
    </row>
    <row r="38" spans="1:9" ht="11.25">
      <c r="A38" s="12" t="s">
        <v>26</v>
      </c>
      <c r="B38" s="37"/>
      <c r="C38" s="52">
        <v>0.06</v>
      </c>
      <c r="D38" s="37"/>
      <c r="E38" s="37"/>
      <c r="F38" s="37"/>
      <c r="G38" s="41"/>
      <c r="H38" s="38"/>
      <c r="I38" s="38"/>
    </row>
    <row r="39" spans="1:9" ht="11.25">
      <c r="A39" s="12" t="s">
        <v>32</v>
      </c>
      <c r="B39" s="37"/>
      <c r="C39" s="52"/>
      <c r="D39" s="37">
        <f>PMT($C$38,$C$37,-C36)</f>
        <v>264.3714170173642</v>
      </c>
      <c r="E39" s="37">
        <f>+D39</f>
        <v>264.3714170173642</v>
      </c>
      <c r="F39" s="37">
        <f>+E39</f>
        <v>264.3714170173642</v>
      </c>
      <c r="G39" s="37">
        <f>+F39</f>
        <v>264.3714170173642</v>
      </c>
      <c r="H39" s="37">
        <f>+G39</f>
        <v>264.3714170173642</v>
      </c>
      <c r="I39" s="37"/>
    </row>
    <row r="40" spans="1:9" ht="11.25">
      <c r="A40" s="12" t="s">
        <v>33</v>
      </c>
      <c r="B40" s="37"/>
      <c r="C40" s="52"/>
      <c r="D40" s="37">
        <f>+$C$38*C36</f>
        <v>78</v>
      </c>
      <c r="E40" s="37">
        <f>+$C$38*D36</f>
        <v>66.81771497895815</v>
      </c>
      <c r="F40" s="37">
        <f>+$C$38*E36</f>
        <v>54.964492856653784</v>
      </c>
      <c r="G40" s="37">
        <f>+$C$38*F36</f>
        <v>42.40007740701116</v>
      </c>
      <c r="H40" s="37">
        <f>+$C$38*G36</f>
        <v>29.08179703038998</v>
      </c>
      <c r="I40" s="37"/>
    </row>
    <row r="41" spans="1:9" ht="11.25">
      <c r="A41" s="12" t="s">
        <v>31</v>
      </c>
      <c r="B41" s="37"/>
      <c r="C41" s="38"/>
      <c r="D41" s="37">
        <f>+D39-D40</f>
        <v>186.3714170173642</v>
      </c>
      <c r="E41" s="37">
        <f>+E39-E40</f>
        <v>197.55370203840604</v>
      </c>
      <c r="F41" s="37">
        <f>+F39-F40</f>
        <v>209.40692416071042</v>
      </c>
      <c r="G41" s="37">
        <f>+G39-G40</f>
        <v>221.97133961035303</v>
      </c>
      <c r="H41" s="37">
        <f>+H39-H40</f>
        <v>235.28961998697423</v>
      </c>
      <c r="I41" s="37"/>
    </row>
    <row r="42" spans="1:9" ht="11.25">
      <c r="A42" s="14" t="s">
        <v>25</v>
      </c>
      <c r="B42" s="31"/>
      <c r="C42" s="31"/>
      <c r="D42" s="32">
        <f>+D40*$C$6</f>
        <v>19.5</v>
      </c>
      <c r="E42" s="32">
        <f>+E40*$C$6</f>
        <v>16.704428744739538</v>
      </c>
      <c r="F42" s="32">
        <f>+F40*$C$6</f>
        <v>13.741123214163446</v>
      </c>
      <c r="G42" s="32">
        <f>+G40*$C$6</f>
        <v>10.60001935175279</v>
      </c>
      <c r="H42" s="32">
        <f>+H40*$C$6</f>
        <v>7.270449257597495</v>
      </c>
      <c r="I42" s="32"/>
    </row>
    <row r="43" spans="1:8" ht="11.25">
      <c r="A43" s="12" t="s">
        <v>34</v>
      </c>
      <c r="B43" s="37"/>
      <c r="C43" s="39">
        <v>0.06</v>
      </c>
      <c r="D43" s="37"/>
      <c r="E43" s="37"/>
      <c r="F43" s="37"/>
      <c r="G43" s="37"/>
      <c r="H43" s="37"/>
    </row>
    <row r="44" spans="1:8" ht="11.25">
      <c r="A44" s="24" t="s">
        <v>28</v>
      </c>
      <c r="B44" s="24"/>
      <c r="C44" s="19">
        <f>NPV(C43,D42:H42)</f>
        <v>58.62953133838995</v>
      </c>
      <c r="D44" s="31"/>
      <c r="E44" s="31"/>
      <c r="F44" s="31"/>
      <c r="G44" s="40"/>
      <c r="H44" s="40"/>
    </row>
    <row r="45" spans="1:8" ht="12" thickBot="1">
      <c r="A45" s="53"/>
      <c r="B45" s="53"/>
      <c r="C45" s="54"/>
      <c r="D45" s="37"/>
      <c r="E45" s="37"/>
      <c r="F45" s="37"/>
      <c r="G45" s="41"/>
      <c r="H45" s="41"/>
    </row>
    <row r="46" spans="1:8" ht="12" thickBot="1">
      <c r="A46" s="57" t="s">
        <v>41</v>
      </c>
      <c r="B46" s="58"/>
      <c r="C46" s="59" t="s">
        <v>29</v>
      </c>
      <c r="D46" s="59" t="s">
        <v>35</v>
      </c>
      <c r="E46" s="59" t="s">
        <v>36</v>
      </c>
      <c r="F46" s="60"/>
      <c r="G46" s="60"/>
      <c r="H46" s="60"/>
    </row>
    <row r="47" spans="1:8" ht="11.25">
      <c r="A47" s="13" t="s">
        <v>37</v>
      </c>
      <c r="B47" s="37"/>
      <c r="C47" s="42">
        <v>0.25</v>
      </c>
      <c r="D47" s="42">
        <f>1-C47</f>
        <v>0.75</v>
      </c>
      <c r="E47" s="37"/>
      <c r="F47" s="37"/>
      <c r="G47" s="37"/>
      <c r="H47" s="37"/>
    </row>
    <row r="48" spans="1:8" ht="11.25">
      <c r="A48" s="14" t="s">
        <v>38</v>
      </c>
      <c r="B48" s="31"/>
      <c r="C48" s="43">
        <f>+C43</f>
        <v>0.06</v>
      </c>
      <c r="D48" s="44">
        <f>+C29+C47/D47*(1-C6)*(C29-C43)</f>
        <v>0.135</v>
      </c>
      <c r="E48" s="31"/>
      <c r="F48" s="31" t="s">
        <v>0</v>
      </c>
      <c r="G48" s="31"/>
      <c r="H48" s="31"/>
    </row>
    <row r="49" spans="1:8" ht="11.25">
      <c r="A49" s="14" t="s">
        <v>39</v>
      </c>
      <c r="B49" s="31"/>
      <c r="C49" s="43">
        <f>+C6</f>
        <v>0.25</v>
      </c>
      <c r="D49" s="44"/>
      <c r="E49" s="31"/>
      <c r="F49" s="31"/>
      <c r="G49" s="31"/>
      <c r="H49" s="31"/>
    </row>
    <row r="50" spans="1:8" ht="11.25">
      <c r="A50" s="14" t="s">
        <v>40</v>
      </c>
      <c r="B50" s="31"/>
      <c r="C50" s="20">
        <f>+C47*C48*(1-C49)</f>
        <v>0.01125</v>
      </c>
      <c r="D50" s="20">
        <f>+D47*D48</f>
        <v>0.10125</v>
      </c>
      <c r="E50" s="21">
        <f>+C50+D50</f>
        <v>0.1125</v>
      </c>
      <c r="F50" s="31" t="s">
        <v>1</v>
      </c>
      <c r="G50" s="31"/>
      <c r="H50" s="31"/>
    </row>
    <row r="51" spans="1:8" ht="11.25">
      <c r="A51" s="37"/>
      <c r="B51" s="37"/>
      <c r="C51" s="37"/>
      <c r="D51" s="37"/>
      <c r="E51" s="37"/>
      <c r="F51" s="37"/>
      <c r="G51" s="37"/>
      <c r="H51" s="45"/>
    </row>
    <row r="52" spans="1:8" ht="11.25">
      <c r="A52" s="14" t="s">
        <v>63</v>
      </c>
      <c r="B52" s="31"/>
      <c r="C52" s="31"/>
      <c r="D52" s="31"/>
      <c r="E52" s="31"/>
      <c r="F52" s="31"/>
      <c r="G52" s="31"/>
      <c r="H52" s="32">
        <f>+H27*(1+H4)/(E50-H4)</f>
        <v>4023.1175757575747</v>
      </c>
    </row>
    <row r="53" spans="1:8" ht="11.25">
      <c r="A53" s="14" t="s">
        <v>64</v>
      </c>
      <c r="B53" s="31"/>
      <c r="C53" s="31"/>
      <c r="D53" s="31"/>
      <c r="E53" s="31"/>
      <c r="F53" s="31"/>
      <c r="G53" s="31"/>
      <c r="H53" s="32">
        <f>+H31</f>
        <v>3687.8577777777773</v>
      </c>
    </row>
    <row r="54" spans="1:8" ht="11.25">
      <c r="A54" s="24" t="s">
        <v>42</v>
      </c>
      <c r="B54" s="24"/>
      <c r="C54" s="19">
        <f>+H54/(1+C43)^(H35-C35)</f>
        <v>250.52562407382678</v>
      </c>
      <c r="D54" s="31"/>
      <c r="E54" s="31"/>
      <c r="F54" s="31"/>
      <c r="G54" s="31"/>
      <c r="H54" s="32">
        <f>+H52-H53</f>
        <v>335.25979797979744</v>
      </c>
    </row>
    <row r="55" spans="1:8" ht="12" thickBot="1">
      <c r="A55" s="11" t="s">
        <v>65</v>
      </c>
      <c r="B55" s="11"/>
      <c r="C55" s="22">
        <f>+C54+C44</f>
        <v>309.15515541221674</v>
      </c>
      <c r="D55" s="23"/>
      <c r="E55" s="35"/>
      <c r="F55" s="35"/>
      <c r="G55" s="35"/>
      <c r="H55" s="35"/>
    </row>
    <row r="56" ht="12" thickBot="1"/>
    <row r="57" spans="1:3" ht="11.25">
      <c r="A57" s="26" t="s">
        <v>45</v>
      </c>
      <c r="B57" s="46" t="s">
        <v>2</v>
      </c>
      <c r="C57" s="46" t="s">
        <v>44</v>
      </c>
    </row>
    <row r="58" spans="1:3" ht="11.25">
      <c r="A58" s="8" t="s">
        <v>48</v>
      </c>
      <c r="B58" s="28"/>
      <c r="C58" s="29">
        <f>+C34</f>
        <v>3587.53328668574</v>
      </c>
    </row>
    <row r="59" spans="1:3" ht="11.25">
      <c r="A59" s="9" t="s">
        <v>43</v>
      </c>
      <c r="B59" s="47"/>
      <c r="C59" s="30">
        <f>+C55</f>
        <v>309.15515541221674</v>
      </c>
    </row>
    <row r="60" spans="1:3" ht="11.25">
      <c r="A60" s="8" t="s">
        <v>46</v>
      </c>
      <c r="B60" s="29">
        <f>NPV(E50,D27:H27)+NPV(E50,D28:E28)+H53/(1+E50)^5</f>
        <v>3683.084060540097</v>
      </c>
      <c r="C60" s="29">
        <f>+C58+C59</f>
        <v>3896.688442097957</v>
      </c>
    </row>
    <row r="61" spans="1:4" ht="11.25">
      <c r="A61" s="8" t="s">
        <v>29</v>
      </c>
      <c r="B61" s="29">
        <f>+C61</f>
        <v>1300</v>
      </c>
      <c r="C61" s="29">
        <f>+C36</f>
        <v>1300</v>
      </c>
      <c r="D61" s="3"/>
    </row>
    <row r="62" spans="1:4" ht="11.25">
      <c r="A62" s="8" t="s">
        <v>49</v>
      </c>
      <c r="B62" s="29"/>
      <c r="C62" s="29">
        <f>+C15</f>
        <v>150.33333333333334</v>
      </c>
      <c r="D62" s="3"/>
    </row>
    <row r="63" spans="1:3" ht="11.25">
      <c r="A63" s="9" t="s">
        <v>45</v>
      </c>
      <c r="B63" s="30">
        <f>+B60-B61</f>
        <v>2383.084060540097</v>
      </c>
      <c r="C63" s="30">
        <f>+C60-C61+C62</f>
        <v>2747.0217754312903</v>
      </c>
    </row>
    <row r="64" spans="1:3" ht="11.25">
      <c r="A64" s="9" t="s">
        <v>50</v>
      </c>
      <c r="B64" s="47">
        <f>+C64</f>
        <v>200</v>
      </c>
      <c r="C64" s="47">
        <v>200</v>
      </c>
    </row>
    <row r="65" spans="1:3" ht="12" thickBot="1">
      <c r="A65" s="16" t="s">
        <v>51</v>
      </c>
      <c r="B65" s="48">
        <f>+B63/B64</f>
        <v>11.915420302700486</v>
      </c>
      <c r="C65" s="55">
        <f>+C63/C64</f>
        <v>13.735108877156451</v>
      </c>
    </row>
    <row r="67" spans="1:8" ht="12" thickBot="1">
      <c r="A67" s="112" t="s">
        <v>71</v>
      </c>
      <c r="B67" s="112"/>
      <c r="C67" s="112"/>
      <c r="D67" s="112"/>
      <c r="E67" s="112"/>
      <c r="F67" s="112"/>
      <c r="G67" s="112"/>
      <c r="H67" s="112"/>
    </row>
    <row r="68" spans="1:8" ht="11.25">
      <c r="A68" s="6" t="s">
        <v>3</v>
      </c>
      <c r="B68" s="5"/>
      <c r="C68" s="7">
        <f aca="true" t="shared" si="9" ref="C68:H68">+C18</f>
        <v>2014</v>
      </c>
      <c r="D68" s="7">
        <f t="shared" si="9"/>
        <v>2015</v>
      </c>
      <c r="E68" s="7">
        <f t="shared" si="9"/>
        <v>2016</v>
      </c>
      <c r="F68" s="7">
        <f t="shared" si="9"/>
        <v>2017</v>
      </c>
      <c r="G68" s="7">
        <f t="shared" si="9"/>
        <v>2018</v>
      </c>
      <c r="H68" s="7">
        <f t="shared" si="9"/>
        <v>2019</v>
      </c>
    </row>
    <row r="69" spans="1:8" ht="11.25">
      <c r="A69" t="s">
        <v>9</v>
      </c>
      <c r="D69" s="25">
        <f>+D27</f>
        <v>538.7249999999999</v>
      </c>
      <c r="E69" s="25">
        <f>+E27</f>
        <v>279.7250000000001</v>
      </c>
      <c r="F69" s="25">
        <f>+F27</f>
        <v>303.5849999999999</v>
      </c>
      <c r="G69" s="25">
        <f>+G27</f>
        <v>312.77000000000004</v>
      </c>
      <c r="H69" s="25">
        <f>+H27</f>
        <v>322.23999999999995</v>
      </c>
    </row>
    <row r="70" spans="1:3" ht="11.25">
      <c r="A70" t="s">
        <v>52</v>
      </c>
      <c r="C70" s="1">
        <f>+E50</f>
        <v>0.1125</v>
      </c>
    </row>
    <row r="71" spans="1:8" ht="11.25">
      <c r="A71" t="s">
        <v>11</v>
      </c>
      <c r="H71" s="4">
        <f>H4</f>
        <v>0.03</v>
      </c>
    </row>
    <row r="72" spans="1:8" ht="11.25">
      <c r="A72" t="s">
        <v>53</v>
      </c>
      <c r="C72" s="25">
        <f>+H72/(1+C70)^(H68-C68)</f>
        <v>2360.81864683644</v>
      </c>
      <c r="H72" s="25">
        <f>+H69*(1+H71)/(C70-H71)</f>
        <v>4023.1175757575747</v>
      </c>
    </row>
    <row r="73" spans="1:3" ht="11.25">
      <c r="A73" t="s">
        <v>27</v>
      </c>
      <c r="C73" s="25">
        <f>NPV(C70,D69:H69)</f>
        <v>1324.0249190438014</v>
      </c>
    </row>
    <row r="74" spans="1:3" ht="11.25">
      <c r="A74" t="s">
        <v>70</v>
      </c>
      <c r="C74" s="25">
        <f>NPV(C70,D28:E28)</f>
        <v>194.97538189622523</v>
      </c>
    </row>
    <row r="75" spans="1:3" ht="11.25">
      <c r="A75" t="s">
        <v>29</v>
      </c>
      <c r="C75" s="25">
        <f>+C61</f>
        <v>1300</v>
      </c>
    </row>
    <row r="76" spans="1:3" ht="11.25">
      <c r="A76" t="s">
        <v>49</v>
      </c>
      <c r="C76" s="25">
        <f>+C62</f>
        <v>150.33333333333334</v>
      </c>
    </row>
    <row r="77" spans="1:3" ht="11.25">
      <c r="A77" t="s">
        <v>45</v>
      </c>
      <c r="C77" s="25">
        <f>+C72+C73-C75+C76+C74</f>
        <v>2730.1522811098007</v>
      </c>
    </row>
    <row r="78" spans="1:3" ht="11.25">
      <c r="A78" t="s">
        <v>54</v>
      </c>
      <c r="C78" s="25">
        <f>+C64</f>
        <v>200</v>
      </c>
    </row>
    <row r="79" spans="1:3" ht="12" thickBot="1">
      <c r="A79" s="16" t="s">
        <v>51</v>
      </c>
      <c r="B79" s="48" t="e">
        <f>+B77/B78</f>
        <v>#DIV/0!</v>
      </c>
      <c r="C79" s="55">
        <f>+C77/C78</f>
        <v>13.650761405549003</v>
      </c>
    </row>
    <row r="80" spans="1:4" ht="11.25">
      <c r="A80" s="110" t="s">
        <v>73</v>
      </c>
      <c r="C80" s="108">
        <f>+C65-C79</f>
        <v>0.08434747160744749</v>
      </c>
      <c r="D80" s="4">
        <f>+C80/C65</f>
        <v>0.006141012230906302</v>
      </c>
    </row>
    <row r="81" spans="1:3" ht="11.25">
      <c r="A81" s="110"/>
      <c r="C81" s="108"/>
    </row>
    <row r="82" ht="11.25">
      <c r="A82" s="2" t="s">
        <v>74</v>
      </c>
    </row>
    <row r="83" ht="11.25">
      <c r="A83" s="109" t="s">
        <v>55</v>
      </c>
    </row>
    <row r="84" ht="11.25">
      <c r="A84" s="109" t="s">
        <v>75</v>
      </c>
    </row>
    <row r="85" ht="11.25">
      <c r="A85" s="110" t="s">
        <v>72</v>
      </c>
    </row>
  </sheetData>
  <sheetProtection/>
  <mergeCells count="2">
    <mergeCell ref="A1:H1"/>
    <mergeCell ref="A67:H67"/>
  </mergeCells>
  <printOptions gridLines="1" horizontalCentered="1"/>
  <pageMargins left="0.42" right="0.18" top="0.69" bottom="0.72" header="0.43" footer="0.48"/>
  <pageSetup horizontalDpi="300" verticalDpi="300" orientation="landscape" paperSize="9" scale="95" r:id="rId1"/>
  <headerFooter alignWithMargins="0">
    <oddHeader>&amp;CAVALIAÇÃO DA NABISCO PELO VALA</oddHeader>
    <oddFooter>&amp;L&amp;F&amp;RJCNeves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JCNeves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Carvalho das Neves</dc:creator>
  <cp:keywords/>
  <dc:description/>
  <cp:lastModifiedBy>Docentes do ISEG</cp:lastModifiedBy>
  <cp:lastPrinted>2001-02-23T23:18:03Z</cp:lastPrinted>
  <dcterms:created xsi:type="dcterms:W3CDTF">2015-05-14T11:10:52Z</dcterms:created>
  <dcterms:modified xsi:type="dcterms:W3CDTF">2015-05-19T12:57:45Z</dcterms:modified>
  <cp:category/>
  <cp:version/>
  <cp:contentType/>
  <cp:contentStatus/>
</cp:coreProperties>
</file>