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E:\PCO.2015\"/>
    </mc:Choice>
  </mc:AlternateContent>
  <bookViews>
    <workbookView xWindow="0" yWindow="90" windowWidth="15195" windowHeight="8700" tabRatio="876" activeTab="6"/>
  </bookViews>
  <sheets>
    <sheet name="Balanço" sheetId="1" r:id="rId1"/>
    <sheet name="DR por natureza" sheetId="2" r:id="rId2"/>
    <sheet name="BF e TL" sheetId="3" r:id="rId3"/>
    <sheet name="Orçamento de Tesouraria" sheetId="14" r:id="rId4"/>
    <sheet name="Plano Financeiro CP" sheetId="15" r:id="rId5"/>
    <sheet name="CA" sheetId="11" r:id="rId6"/>
    <sheet name="Pressupostos" sheetId="9" r:id="rId7"/>
  </sheets>
  <calcPr calcId="152511"/>
</workbook>
</file>

<file path=xl/calcChain.xml><?xml version="1.0" encoding="utf-8"?>
<calcChain xmlns="http://schemas.openxmlformats.org/spreadsheetml/2006/main">
  <c r="H15" i="15" l="1"/>
  <c r="B20" i="9"/>
  <c r="H14" i="15"/>
  <c r="H13" i="15"/>
  <c r="C12" i="15"/>
  <c r="C30" i="15" s="1"/>
  <c r="B5" i="11"/>
  <c r="C25" i="11" s="1"/>
  <c r="D25" i="11"/>
  <c r="D26" i="11" s="1"/>
  <c r="E24" i="11" s="1"/>
  <c r="B4" i="11"/>
  <c r="B24" i="11" s="1"/>
  <c r="A2" i="15"/>
  <c r="A2" i="14"/>
  <c r="C22" i="3"/>
  <c r="B22" i="3"/>
  <c r="C4" i="3"/>
  <c r="D4" i="2"/>
  <c r="B21" i="9"/>
  <c r="E26" i="15"/>
  <c r="D26" i="15"/>
  <c r="C26" i="15"/>
  <c r="B26" i="15"/>
  <c r="B15" i="14"/>
  <c r="B21" i="15" s="1"/>
  <c r="B12" i="15"/>
  <c r="B30" i="15" s="1"/>
  <c r="B31" i="15" s="1"/>
  <c r="E8" i="15"/>
  <c r="D8" i="15"/>
  <c r="C8" i="15"/>
  <c r="C10" i="2"/>
  <c r="C11" i="2"/>
  <c r="C17" i="2"/>
  <c r="C9" i="2"/>
  <c r="C5" i="2"/>
  <c r="C8" i="2"/>
  <c r="D8" i="2"/>
  <c r="C15" i="2"/>
  <c r="D15" i="2"/>
  <c r="C16" i="2"/>
  <c r="D16" i="2"/>
  <c r="C19" i="2"/>
  <c r="D19" i="2"/>
  <c r="D22" i="2"/>
  <c r="D24" i="2" s="1"/>
  <c r="C26" i="3"/>
  <c r="C27" i="3"/>
  <c r="C28" i="3"/>
  <c r="D20" i="3"/>
  <c r="D2" i="3"/>
  <c r="E2" i="2"/>
  <c r="C35" i="11"/>
  <c r="C36" i="11"/>
  <c r="B6" i="11"/>
  <c r="B11" i="3"/>
  <c r="C30" i="11"/>
  <c r="C31" i="11"/>
  <c r="I10" i="11"/>
  <c r="I12" i="11"/>
  <c r="D30" i="11"/>
  <c r="D31" i="11"/>
  <c r="D32" i="11" s="1"/>
  <c r="E35" i="11"/>
  <c r="E36" i="11"/>
  <c r="E30" i="11"/>
  <c r="E31" i="11"/>
  <c r="B21" i="11"/>
  <c r="B9" i="14"/>
  <c r="B30" i="11"/>
  <c r="B31" i="11"/>
  <c r="B35" i="11"/>
  <c r="B36" i="11"/>
  <c r="E18" i="14"/>
  <c r="B10" i="3"/>
  <c r="C10" i="3"/>
  <c r="C11" i="3"/>
  <c r="C12" i="3" s="1"/>
  <c r="C15" i="3" s="1"/>
  <c r="C16" i="3" s="1"/>
  <c r="C13" i="3"/>
  <c r="C14" i="3"/>
  <c r="F38" i="11"/>
  <c r="D35" i="11"/>
  <c r="D36" i="11"/>
  <c r="I11" i="11"/>
  <c r="B7" i="15"/>
  <c r="B8" i="15" s="1"/>
  <c r="B13" i="15" s="1"/>
  <c r="I13" i="11"/>
  <c r="H10" i="11" s="1"/>
  <c r="C24" i="1"/>
  <c r="C23" i="1"/>
  <c r="C22" i="1"/>
  <c r="C15" i="1"/>
  <c r="C8" i="1"/>
  <c r="C7" i="1"/>
  <c r="H11" i="11"/>
  <c r="C36" i="1"/>
  <c r="G11" i="11"/>
  <c r="F11" i="11"/>
  <c r="E11" i="11" s="1"/>
  <c r="D11" i="11" s="1"/>
  <c r="C11" i="11" s="1"/>
  <c r="B11" i="11" s="1"/>
  <c r="D26" i="1"/>
  <c r="D33" i="1"/>
  <c r="D38" i="1"/>
  <c r="D39" i="1"/>
  <c r="D12" i="1"/>
  <c r="D18" i="1"/>
  <c r="D19" i="1" s="1"/>
  <c r="D42" i="1" s="1"/>
  <c r="C12" i="1"/>
  <c r="B8" i="3" s="1"/>
  <c r="C18" i="14"/>
  <c r="D18" i="14"/>
  <c r="B18" i="14"/>
  <c r="F18" i="11"/>
  <c r="C5" i="3"/>
  <c r="C6" i="3"/>
  <c r="C7" i="3"/>
  <c r="C8" i="3"/>
  <c r="C9" i="3"/>
  <c r="A1" i="15"/>
  <c r="A1" i="14"/>
  <c r="A19" i="3"/>
  <c r="A1" i="3"/>
  <c r="A1" i="2"/>
  <c r="B6" i="9"/>
  <c r="F35" i="11"/>
  <c r="F31" i="11"/>
  <c r="F2" i="15"/>
  <c r="F2" i="14"/>
  <c r="B27" i="3"/>
  <c r="C23" i="3"/>
  <c r="C24" i="3"/>
  <c r="C25" i="3"/>
  <c r="C29" i="3" s="1"/>
  <c r="F30" i="11"/>
  <c r="F29" i="11"/>
  <c r="E32" i="11"/>
  <c r="E10" i="14" s="1"/>
  <c r="B32" i="11"/>
  <c r="C32" i="11"/>
  <c r="C10" i="14"/>
  <c r="B10" i="14"/>
  <c r="B13" i="14" s="1"/>
  <c r="B12" i="3"/>
  <c r="C14" i="1"/>
  <c r="B7" i="11"/>
  <c r="B16" i="15"/>
  <c r="B17" i="15"/>
  <c r="B24" i="15"/>
  <c r="D37" i="11"/>
  <c r="D5" i="14" s="1"/>
  <c r="D7" i="14" s="1"/>
  <c r="E37" i="11"/>
  <c r="E5" i="14"/>
  <c r="E7" i="14" s="1"/>
  <c r="C37" i="11"/>
  <c r="C5" i="14" s="1"/>
  <c r="C7" i="14" s="1"/>
  <c r="B37" i="11"/>
  <c r="F36" i="11"/>
  <c r="B5" i="14"/>
  <c r="B7" i="14" s="1"/>
  <c r="B14" i="14" s="1"/>
  <c r="B16" i="14" s="1"/>
  <c r="F37" i="11"/>
  <c r="B14" i="3"/>
  <c r="B15" i="3" s="1"/>
  <c r="C35" i="1"/>
  <c r="C13" i="15"/>
  <c r="C23" i="15" s="1"/>
  <c r="D12" i="15"/>
  <c r="D30" i="15"/>
  <c r="D13" i="15"/>
  <c r="D23" i="15" s="1"/>
  <c r="C38" i="1"/>
  <c r="B26" i="3"/>
  <c r="B28" i="3"/>
  <c r="E12" i="15"/>
  <c r="E13" i="15"/>
  <c r="E23" i="15"/>
  <c r="E30" i="15"/>
  <c r="B22" i="15" l="1"/>
  <c r="B18" i="15"/>
  <c r="B17" i="14"/>
  <c r="H13" i="11"/>
  <c r="H12" i="11"/>
  <c r="F32" i="11"/>
  <c r="D10" i="14"/>
  <c r="C26" i="11"/>
  <c r="D24" i="11" s="1"/>
  <c r="B19" i="15"/>
  <c r="B23" i="15"/>
  <c r="B25" i="15" s="1"/>
  <c r="C32" i="15"/>
  <c r="C16" i="15" s="1"/>
  <c r="C17" i="15" s="1"/>
  <c r="C29" i="15"/>
  <c r="C31" i="15" s="1"/>
  <c r="C4" i="2"/>
  <c r="B4" i="3"/>
  <c r="E25" i="11"/>
  <c r="D27" i="11"/>
  <c r="D20" i="11" s="1"/>
  <c r="E21" i="11" s="1"/>
  <c r="E9" i="14" s="1"/>
  <c r="E13" i="14" s="1"/>
  <c r="E14" i="14" s="1"/>
  <c r="E16" i="14" s="1"/>
  <c r="B25" i="11"/>
  <c r="E22" i="15" l="1"/>
  <c r="E18" i="15"/>
  <c r="B27" i="15"/>
  <c r="C21" i="15"/>
  <c r="B26" i="11"/>
  <c r="C24" i="11" s="1"/>
  <c r="C27" i="11" s="1"/>
  <c r="C20" i="11" s="1"/>
  <c r="D21" i="11" s="1"/>
  <c r="D9" i="14" s="1"/>
  <c r="D13" i="14" s="1"/>
  <c r="D14" i="14" s="1"/>
  <c r="D16" i="14" s="1"/>
  <c r="B27" i="11"/>
  <c r="F25" i="11"/>
  <c r="E26" i="11"/>
  <c r="F24" i="11" s="1"/>
  <c r="E27" i="11"/>
  <c r="E20" i="11" s="1"/>
  <c r="F22" i="11" s="1"/>
  <c r="F26" i="11"/>
  <c r="C24" i="15"/>
  <c r="D32" i="15"/>
  <c r="D16" i="15" s="1"/>
  <c r="D17" i="15" s="1"/>
  <c r="D29" i="15"/>
  <c r="D31" i="15" s="1"/>
  <c r="G10" i="11"/>
  <c r="C28" i="1"/>
  <c r="C33" i="1" s="1"/>
  <c r="B6" i="3" s="1"/>
  <c r="C15" i="14"/>
  <c r="B19" i="14"/>
  <c r="G13" i="11" l="1"/>
  <c r="F10" i="11" s="1"/>
  <c r="G12" i="11"/>
  <c r="D24" i="15"/>
  <c r="B20" i="11"/>
  <c r="F27" i="11"/>
  <c r="E32" i="15"/>
  <c r="E16" i="15" s="1"/>
  <c r="E17" i="15" s="1"/>
  <c r="E29" i="15"/>
  <c r="E31" i="15" s="1"/>
  <c r="C17" i="1" s="1"/>
  <c r="B24" i="3" s="1"/>
  <c r="D18" i="15"/>
  <c r="D19" i="15" s="1"/>
  <c r="D22" i="15"/>
  <c r="C21" i="11" l="1"/>
  <c r="F20" i="11"/>
  <c r="F13" i="11"/>
  <c r="E10" i="11" s="1"/>
  <c r="F12" i="11"/>
  <c r="E24" i="15"/>
  <c r="E19" i="15"/>
  <c r="C21" i="2"/>
  <c r="C22" i="2" s="1"/>
  <c r="C24" i="2" s="1"/>
  <c r="C25" i="1" s="1"/>
  <c r="C26" i="1" s="1"/>
  <c r="C39" i="1" l="1"/>
  <c r="B5" i="3"/>
  <c r="B7" i="3" s="1"/>
  <c r="B9" i="3" s="1"/>
  <c r="B16" i="3" s="1"/>
  <c r="E13" i="11"/>
  <c r="D10" i="11" s="1"/>
  <c r="E12" i="11"/>
  <c r="C9" i="14"/>
  <c r="C13" i="14" s="1"/>
  <c r="C14" i="14" s="1"/>
  <c r="C16" i="14" s="1"/>
  <c r="F21" i="11"/>
  <c r="C18" i="15" l="1"/>
  <c r="C19" i="15" s="1"/>
  <c r="C22" i="15"/>
  <c r="C25" i="15" s="1"/>
  <c r="C17" i="14"/>
  <c r="D12" i="11"/>
  <c r="D13" i="11"/>
  <c r="C10" i="11" s="1"/>
  <c r="C13" i="11" l="1"/>
  <c r="B10" i="11" s="1"/>
  <c r="C12" i="11"/>
  <c r="D21" i="15"/>
  <c r="D25" i="15" s="1"/>
  <c r="C27" i="15"/>
  <c r="D15" i="14"/>
  <c r="D17" i="14" s="1"/>
  <c r="C19" i="14"/>
  <c r="D19" i="14" l="1"/>
  <c r="E15" i="14"/>
  <c r="E17" i="14" s="1"/>
  <c r="E19" i="14" s="1"/>
  <c r="E21" i="15"/>
  <c r="E25" i="15" s="1"/>
  <c r="D27" i="15"/>
  <c r="B13" i="11"/>
  <c r="B12" i="11"/>
  <c r="E27" i="15" l="1"/>
  <c r="C16" i="1"/>
  <c r="C18" i="1" l="1"/>
  <c r="C19" i="1" s="1"/>
  <c r="C42" i="1" s="1"/>
  <c r="B23" i="3"/>
  <c r="B25" i="3" s="1"/>
  <c r="B29" i="3" s="1"/>
</calcChain>
</file>

<file path=xl/sharedStrings.xml><?xml version="1.0" encoding="utf-8"?>
<sst xmlns="http://schemas.openxmlformats.org/spreadsheetml/2006/main" count="233" uniqueCount="187">
  <si>
    <t>Designação</t>
  </si>
  <si>
    <t>Notas</t>
  </si>
  <si>
    <t>Exercícios</t>
  </si>
  <si>
    <t>ACTIVO</t>
  </si>
  <si>
    <t>Activos não correntes:</t>
  </si>
  <si>
    <t>Outros activos financeiros</t>
  </si>
  <si>
    <t>Outros activos não correntes</t>
  </si>
  <si>
    <t>Activos correntes:</t>
  </si>
  <si>
    <t xml:space="preserve">Outros activos correntes </t>
  </si>
  <si>
    <t xml:space="preserve">Total do activo                                   </t>
  </si>
  <si>
    <t>CAPITAL PRÓPRIO E PASSIVO</t>
  </si>
  <si>
    <t>Capital próprio:</t>
  </si>
  <si>
    <t>Reservas</t>
  </si>
  <si>
    <t>Resultados transitados</t>
  </si>
  <si>
    <t>Passivo não corrente:</t>
  </si>
  <si>
    <t>Outros passivos não correntes</t>
  </si>
  <si>
    <t>Passivo corrente:</t>
  </si>
  <si>
    <t>Total do capital próprio e passivo</t>
  </si>
  <si>
    <t>Vendas</t>
  </si>
  <si>
    <t>Amortizações</t>
  </si>
  <si>
    <t>Resultados antes de impostos:</t>
  </si>
  <si>
    <t>Capital Próprio</t>
  </si>
  <si>
    <t>Passivo não corrente</t>
  </si>
  <si>
    <t>Activo não corrente</t>
  </si>
  <si>
    <t>Outros activos correntes</t>
  </si>
  <si>
    <t>Outros custos e perdas operacionais</t>
  </si>
  <si>
    <t>Compras</t>
  </si>
  <si>
    <t>CMVMPSC</t>
  </si>
  <si>
    <t>Existências finais</t>
  </si>
  <si>
    <t>Juro</t>
  </si>
  <si>
    <t>Reembolso de capital</t>
  </si>
  <si>
    <t>Aquisição de uma empresa concorrente</t>
  </si>
  <si>
    <t>Existências iniciais</t>
  </si>
  <si>
    <t>Mapa de serviço da dívida</t>
  </si>
  <si>
    <t>Saldo em dívida</t>
  </si>
  <si>
    <t>Capital em dívida no final</t>
  </si>
  <si>
    <t>1T</t>
  </si>
  <si>
    <t>2T</t>
  </si>
  <si>
    <t>3T</t>
  </si>
  <si>
    <t>4T</t>
  </si>
  <si>
    <t>Recebimentos</t>
  </si>
  <si>
    <t>Em percentagem</t>
  </si>
  <si>
    <t>Valor</t>
  </si>
  <si>
    <t>Pagamentos</t>
  </si>
  <si>
    <t>Custos com pessoal</t>
  </si>
  <si>
    <t>Juros</t>
  </si>
  <si>
    <t>Saldo operacional mínimo de tesouraria</t>
  </si>
  <si>
    <t>Disponibilidades necessárias para as operações</t>
  </si>
  <si>
    <t>Disponibilidades no inicio do período</t>
  </si>
  <si>
    <t>Variação de saldo no período (relativo à operação)</t>
  </si>
  <si>
    <t>Aplicação (financiamento)</t>
  </si>
  <si>
    <t>Saldo final de tesouraria</t>
  </si>
  <si>
    <t>Saldo final trimestre anterior</t>
  </si>
  <si>
    <t>Saldo para o trimestre</t>
  </si>
  <si>
    <t>Juro (referente ao trimestre anterior)</t>
  </si>
  <si>
    <t>Cálculos</t>
  </si>
  <si>
    <t>Necessidades Financeiras</t>
  </si>
  <si>
    <t>Recursos Financeiros</t>
  </si>
  <si>
    <t>Pagamento de contas a pagar</t>
  </si>
  <si>
    <t>Despesas com pessoal, administrativas e outras</t>
  </si>
  <si>
    <t>Pagamento de investimentos</t>
  </si>
  <si>
    <t>Cobrança de contas a receber</t>
  </si>
  <si>
    <t>Outras</t>
  </si>
  <si>
    <t>Variação do saldo do período</t>
  </si>
  <si>
    <t>12=10+11</t>
  </si>
  <si>
    <t>14=12-13</t>
  </si>
  <si>
    <t>Plano financeiro</t>
  </si>
  <si>
    <t>3=1+2</t>
  </si>
  <si>
    <t>7=3-6</t>
  </si>
  <si>
    <t>14=11+12-13</t>
  </si>
  <si>
    <t>Tesouraria ajustada:</t>
  </si>
  <si>
    <t>22=18+19+20+21</t>
  </si>
  <si>
    <t>24=22-23</t>
  </si>
  <si>
    <t>Detalhe aplicações ou empréstimos:</t>
  </si>
  <si>
    <t>Reforço/resgate início do trimestre</t>
  </si>
  <si>
    <t>27=25-26</t>
  </si>
  <si>
    <t>Saldo minimo de tesouraria</t>
  </si>
  <si>
    <t>Saldo minimo operacional</t>
  </si>
  <si>
    <t>Investimento inicial</t>
  </si>
  <si>
    <t>Total das disponibilidades necessárias</t>
  </si>
  <si>
    <t>17=14+15+16</t>
  </si>
  <si>
    <t>Petrol</t>
  </si>
  <si>
    <t>Renogociação do passivo</t>
  </si>
  <si>
    <t>Taxa de juro mlp</t>
  </si>
  <si>
    <t>PMP</t>
  </si>
  <si>
    <t>PMR</t>
  </si>
  <si>
    <t>Total do activo não corrente</t>
  </si>
  <si>
    <t>Total do activo corrente</t>
  </si>
  <si>
    <t>Total do capital próprio</t>
  </si>
  <si>
    <t>Total do passivo não corrente</t>
  </si>
  <si>
    <t>Total do passivo corrente</t>
  </si>
  <si>
    <t>6=1+2+3+4+5</t>
  </si>
  <si>
    <t>11=7+8+9+10</t>
  </si>
  <si>
    <t>12=6+11</t>
  </si>
  <si>
    <t>4=1+2+3</t>
  </si>
  <si>
    <t>Total de recursos financeiros</t>
  </si>
  <si>
    <t>Total de Necessidades Financeiras</t>
  </si>
  <si>
    <t>Disponibilidades após exploração</t>
  </si>
  <si>
    <t>Saldo operacional mínimo de tesouraria (saldos em bancos e caixa)</t>
  </si>
  <si>
    <t>8=4+5+6+7</t>
  </si>
  <si>
    <t>9=5-8</t>
  </si>
  <si>
    <t>Recursos disponíveis para reforço de aplicações de CP</t>
  </si>
  <si>
    <t>PMA</t>
  </si>
  <si>
    <t>17=13+14+15+16</t>
  </si>
  <si>
    <t>23=18+19+20+21+22</t>
  </si>
  <si>
    <t>Taxa de juro activa</t>
  </si>
  <si>
    <t>Taxa de juro passiva</t>
  </si>
  <si>
    <t>10=7+8-9</t>
  </si>
  <si>
    <t>5=3-4</t>
  </si>
  <si>
    <t>8=6+7</t>
  </si>
  <si>
    <t>10=9</t>
  </si>
  <si>
    <t>11=8-10</t>
  </si>
  <si>
    <t>12=5-11</t>
  </si>
  <si>
    <t>Capitais Permanentes:</t>
  </si>
  <si>
    <t>Fundo de Maneio</t>
  </si>
  <si>
    <t>Necessidades cíclicas</t>
  </si>
  <si>
    <t>Recursos cíclicos</t>
  </si>
  <si>
    <t>Necessidades em fundo de maneio</t>
  </si>
  <si>
    <t>Tesouraria Líquida</t>
  </si>
  <si>
    <t>Tesouraria activa</t>
  </si>
  <si>
    <t>Tesouraria passiva</t>
  </si>
  <si>
    <t>7=4+5+6</t>
  </si>
  <si>
    <t>8=3-7</t>
  </si>
  <si>
    <t>Activos fixos tangíveis</t>
  </si>
  <si>
    <t>Activos intangiveis</t>
  </si>
  <si>
    <t>Participações financeiras</t>
  </si>
  <si>
    <t>Inventários</t>
  </si>
  <si>
    <t>Clientes</t>
  </si>
  <si>
    <t>Caixa e depósitos bancários</t>
  </si>
  <si>
    <t>Capital realizado</t>
  </si>
  <si>
    <t>Resultado líquido do período</t>
  </si>
  <si>
    <t>Financiamentos obtidos</t>
  </si>
  <si>
    <t>Passivos por impostos diferidos</t>
  </si>
  <si>
    <t>Provisões</t>
  </si>
  <si>
    <t>Responsabilidades por benefícios pós-emprego</t>
  </si>
  <si>
    <t>Fornecedores</t>
  </si>
  <si>
    <t>Outras contas a pagar</t>
  </si>
  <si>
    <t>27=24+25+26</t>
  </si>
  <si>
    <t>28=17+23+27</t>
  </si>
  <si>
    <t>Valores expressos em milhares de euros</t>
  </si>
  <si>
    <t>Impostos</t>
  </si>
  <si>
    <t>Vendas e serviços prestados</t>
  </si>
  <si>
    <t>Subsídios à exploração</t>
  </si>
  <si>
    <t>Outros rendimentos e ganhos</t>
  </si>
  <si>
    <t>Total Rendimentos e Ganhos</t>
  </si>
  <si>
    <t>Custo das mercadorias vendidas e das matérias consumidas</t>
  </si>
  <si>
    <t>Fornecimentos e serviços externos</t>
  </si>
  <si>
    <t xml:space="preserve">Gastos com o pessoal </t>
  </si>
  <si>
    <t>Ajustamentos</t>
  </si>
  <si>
    <t>Imparidades</t>
  </si>
  <si>
    <t>Outros gastos e perdas</t>
  </si>
  <si>
    <t>Total de Gastos e Perdas</t>
  </si>
  <si>
    <t>11=5+6+7+8+9+10</t>
  </si>
  <si>
    <t>EBITDA (Res. Antes Deprec., Gastos Financ. e Impostos)</t>
  </si>
  <si>
    <t>12=4-11</t>
  </si>
  <si>
    <t>Gastos/Reversões de depreciação e de amortização</t>
  </si>
  <si>
    <t>Imparidade de activos depreciáveis/amortizáveis</t>
  </si>
  <si>
    <t>EBIT (Resultados operacionais)</t>
  </si>
  <si>
    <t>15=12-13-14</t>
  </si>
  <si>
    <t>Juros e rendimentos similares obtidos</t>
  </si>
  <si>
    <t>Juros e gastos similares suportados</t>
  </si>
  <si>
    <t>17=15+16-17</t>
  </si>
  <si>
    <t>Imposto sobre o rendimento do período</t>
  </si>
  <si>
    <t>19=17-18</t>
  </si>
  <si>
    <t>Novo endividamento</t>
  </si>
  <si>
    <t>Reembolsos</t>
  </si>
  <si>
    <t>Novo endividamento MLP líquido</t>
  </si>
  <si>
    <t>Operações tesouraria CP</t>
  </si>
  <si>
    <t>Operações tesouraria activa</t>
  </si>
  <si>
    <t>Operações tesouraria passiva</t>
  </si>
  <si>
    <t>Tesouraria liquida</t>
  </si>
  <si>
    <t>Total novo financiamento líquido</t>
  </si>
  <si>
    <t>Recebidos</t>
  </si>
  <si>
    <t>Pagos</t>
  </si>
  <si>
    <t>Juros líquidos</t>
  </si>
  <si>
    <t>Endividamento MLP</t>
  </si>
  <si>
    <t>Recursos disponíveis acumulados para aplicações de CP</t>
  </si>
  <si>
    <t>Saldo trimestral</t>
  </si>
  <si>
    <t>Taxa de juro passiva trimestral</t>
  </si>
  <si>
    <t>Taxa de juro activa trimestral</t>
  </si>
  <si>
    <t>FSE's</t>
  </si>
  <si>
    <t>Balanço em 31/12/20XX</t>
  </si>
  <si>
    <t>Ano 1</t>
  </si>
  <si>
    <t>Ano 2</t>
  </si>
  <si>
    <t>Demonstração de resultados em 31/12/20XX</t>
  </si>
  <si>
    <t>Balanço funcional em 31/12/20XX</t>
  </si>
  <si>
    <t>Tesouraria líquida em 31/12/20XX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</si>
</sst>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4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/>
    </xf>
    <xf numFmtId="0" fontId="5" fillId="0" borderId="1" xfId="0" applyFont="1" applyBorder="1" applyAlignment="1">
      <alignment horizontal="justify"/>
    </xf>
    <xf numFmtId="0" fontId="0" fillId="0" borderId="0" xfId="0" applyAlignment="1">
      <alignment horizontal="left"/>
    </xf>
    <xf numFmtId="3" fontId="0" fillId="0" borderId="0" xfId="1" applyNumberFormat="1" applyFont="1"/>
    <xf numFmtId="9" fontId="0" fillId="0" borderId="0" xfId="0" applyNumberFormat="1"/>
    <xf numFmtId="10" fontId="0" fillId="0" borderId="0" xfId="1" applyNumberFormat="1" applyFont="1"/>
    <xf numFmtId="0" fontId="2" fillId="0" borderId="0" xfId="0" applyFont="1" applyAlignment="1"/>
    <xf numFmtId="0" fontId="2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/>
    <xf numFmtId="0" fontId="0" fillId="0" borderId="0" xfId="0" applyNumberFormat="1"/>
    <xf numFmtId="9" fontId="0" fillId="0" borderId="0" xfId="1" applyFont="1"/>
    <xf numFmtId="0" fontId="2" fillId="0" borderId="7" xfId="0" applyFont="1" applyBorder="1" applyAlignment="1">
      <alignment horizontal="justify" wrapText="1"/>
    </xf>
    <xf numFmtId="0" fontId="3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/>
    </xf>
    <xf numFmtId="3" fontId="3" fillId="0" borderId="9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wrapText="1" indent="1"/>
    </xf>
    <xf numFmtId="3" fontId="3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3" fontId="2" fillId="0" borderId="8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2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indent="1"/>
    </xf>
    <xf numFmtId="3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164" fontId="0" fillId="0" borderId="0" xfId="1" applyNumberFormat="1" applyFont="1"/>
    <xf numFmtId="3" fontId="2" fillId="0" borderId="9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3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wrapText="1"/>
    </xf>
    <xf numFmtId="0" fontId="2" fillId="0" borderId="2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3" fillId="0" borderId="7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vertical="top" wrapText="1" indent="2"/>
    </xf>
    <xf numFmtId="3" fontId="3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indent="1"/>
    </xf>
    <xf numFmtId="3" fontId="3" fillId="0" borderId="10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3" fontId="2" fillId="0" borderId="1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justify" wrapText="1"/>
    </xf>
    <xf numFmtId="3" fontId="2" fillId="0" borderId="6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indent="1"/>
    </xf>
    <xf numFmtId="3" fontId="2" fillId="0" borderId="15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 vertical="center" wrapText="1" indent="1"/>
    </xf>
    <xf numFmtId="3" fontId="2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indent="1"/>
    </xf>
    <xf numFmtId="3" fontId="4" fillId="0" borderId="15" xfId="0" applyNumberFormat="1" applyFont="1" applyBorder="1" applyAlignment="1">
      <alignment horizontal="right" wrapText="1"/>
    </xf>
    <xf numFmtId="0" fontId="8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 inden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wrapText="1" indent="1"/>
    </xf>
    <xf numFmtId="3" fontId="1" fillId="0" borderId="17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inden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indent="2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indent="1"/>
    </xf>
    <xf numFmtId="3" fontId="1" fillId="0" borderId="15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indent="2"/>
    </xf>
    <xf numFmtId="0" fontId="2" fillId="0" borderId="16" xfId="0" applyFont="1" applyBorder="1" applyAlignment="1">
      <alignment horizontal="left" vertical="top" indent="1"/>
    </xf>
    <xf numFmtId="3" fontId="1" fillId="0" borderId="17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left" indent="1"/>
    </xf>
    <xf numFmtId="3" fontId="2" fillId="0" borderId="2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indent="1"/>
    </xf>
    <xf numFmtId="0" fontId="1" fillId="0" borderId="10" xfId="0" applyFont="1" applyBorder="1" applyAlignment="1">
      <alignment horizontal="left" vertical="top" indent="3"/>
    </xf>
    <xf numFmtId="3" fontId="2" fillId="0" borderId="17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indent="1"/>
    </xf>
    <xf numFmtId="3" fontId="1" fillId="0" borderId="2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3" fontId="1" fillId="0" borderId="9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indent="1"/>
    </xf>
    <xf numFmtId="3" fontId="1" fillId="0" borderId="2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27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left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justify" wrapText="1"/>
    </xf>
    <xf numFmtId="3" fontId="1" fillId="0" borderId="14" xfId="0" applyNumberFormat="1" applyFont="1" applyBorder="1" applyAlignment="1">
      <alignment horizontal="justify" wrapText="1"/>
    </xf>
    <xf numFmtId="3" fontId="1" fillId="0" borderId="21" xfId="0" applyNumberFormat="1" applyFont="1" applyBorder="1" applyAlignment="1">
      <alignment horizontal="right" wrapText="1"/>
    </xf>
    <xf numFmtId="0" fontId="1" fillId="0" borderId="0" xfId="0" applyFont="1"/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E42"/>
  <sheetViews>
    <sheetView zoomScaleNormal="100" workbookViewId="0">
      <selection activeCell="D5" sqref="D5"/>
    </sheetView>
  </sheetViews>
  <sheetFormatPr defaultRowHeight="12.75" x14ac:dyDescent="0.2"/>
  <cols>
    <col min="1" max="1" width="48" bestFit="1" customWidth="1"/>
    <col min="2" max="2" width="7.85546875" customWidth="1"/>
    <col min="3" max="3" width="12.5703125" bestFit="1" customWidth="1"/>
    <col min="4" max="4" width="12.7109375" bestFit="1" customWidth="1"/>
    <col min="5" max="5" width="19.140625" bestFit="1" customWidth="1"/>
  </cols>
  <sheetData>
    <row r="1" spans="1:5" x14ac:dyDescent="0.2">
      <c r="A1" s="24" t="s">
        <v>81</v>
      </c>
      <c r="B1" s="24"/>
      <c r="C1" s="24"/>
      <c r="D1" s="24"/>
    </row>
    <row r="2" spans="1:5" ht="13.5" thickBot="1" x14ac:dyDescent="0.25">
      <c r="A2" s="24" t="s">
        <v>181</v>
      </c>
      <c r="B2" s="24"/>
      <c r="C2" s="24"/>
      <c r="E2" s="15" t="s">
        <v>139</v>
      </c>
    </row>
    <row r="3" spans="1:5" ht="12.75" customHeight="1" thickBot="1" x14ac:dyDescent="0.25">
      <c r="A3" s="200" t="s">
        <v>0</v>
      </c>
      <c r="B3" s="200" t="s">
        <v>1</v>
      </c>
      <c r="C3" s="202" t="s">
        <v>2</v>
      </c>
      <c r="D3" s="203"/>
      <c r="E3" s="200" t="s">
        <v>55</v>
      </c>
    </row>
    <row r="4" spans="1:5" ht="12.75" customHeight="1" thickBot="1" x14ac:dyDescent="0.25">
      <c r="A4" s="201"/>
      <c r="B4" s="201"/>
      <c r="C4" s="79">
        <v>2014</v>
      </c>
      <c r="D4" s="17">
        <v>2013</v>
      </c>
      <c r="E4" s="201"/>
    </row>
    <row r="5" spans="1:5" ht="18" customHeight="1" x14ac:dyDescent="0.2">
      <c r="A5" s="52" t="s">
        <v>3</v>
      </c>
      <c r="B5" s="28"/>
      <c r="C5" s="28"/>
      <c r="D5" s="28"/>
      <c r="E5" s="34"/>
    </row>
    <row r="6" spans="1:5" ht="12.75" customHeight="1" x14ac:dyDescent="0.2">
      <c r="A6" s="32" t="s">
        <v>4</v>
      </c>
      <c r="B6" s="80"/>
      <c r="C6" s="80"/>
      <c r="D6" s="80"/>
      <c r="E6" s="45"/>
    </row>
    <row r="7" spans="1:5" ht="12.75" customHeight="1" x14ac:dyDescent="0.2">
      <c r="A7" s="81" t="s">
        <v>123</v>
      </c>
      <c r="B7" s="29"/>
      <c r="C7" s="30">
        <f>D7-Pressupostos!B15</f>
        <v>330000</v>
      </c>
      <c r="D7" s="30">
        <v>350000</v>
      </c>
      <c r="E7" s="36">
        <v>1</v>
      </c>
    </row>
    <row r="8" spans="1:5" ht="12.75" customHeight="1" x14ac:dyDescent="0.2">
      <c r="A8" s="81" t="s">
        <v>124</v>
      </c>
      <c r="B8" s="29"/>
      <c r="C8" s="30">
        <f>D8</f>
        <v>50000</v>
      </c>
      <c r="D8" s="30">
        <v>50000</v>
      </c>
      <c r="E8" s="36">
        <v>2</v>
      </c>
    </row>
    <row r="9" spans="1:5" ht="12.75" customHeight="1" x14ac:dyDescent="0.2">
      <c r="A9" s="81" t="s">
        <v>125</v>
      </c>
      <c r="B9" s="29"/>
      <c r="C9" s="30"/>
      <c r="D9" s="30"/>
      <c r="E9" s="36">
        <v>3</v>
      </c>
    </row>
    <row r="10" spans="1:5" ht="12.75" customHeight="1" x14ac:dyDescent="0.2">
      <c r="A10" s="81" t="s">
        <v>5</v>
      </c>
      <c r="B10" s="29"/>
      <c r="C10" s="31"/>
      <c r="D10" s="31"/>
      <c r="E10" s="35">
        <v>4</v>
      </c>
    </row>
    <row r="11" spans="1:5" ht="12.75" customHeight="1" x14ac:dyDescent="0.2">
      <c r="A11" s="81" t="s">
        <v>6</v>
      </c>
      <c r="B11" s="29"/>
      <c r="C11" s="33"/>
      <c r="D11" s="30"/>
      <c r="E11" s="36">
        <v>5</v>
      </c>
    </row>
    <row r="12" spans="1:5" ht="12.75" customHeight="1" x14ac:dyDescent="0.2">
      <c r="A12" s="82" t="s">
        <v>86</v>
      </c>
      <c r="B12" s="83"/>
      <c r="C12" s="84">
        <f>SUM(C7:C11)</f>
        <v>380000</v>
      </c>
      <c r="D12" s="85">
        <f>SUM(D7:D11)</f>
        <v>400000</v>
      </c>
      <c r="E12" s="86" t="s">
        <v>91</v>
      </c>
    </row>
    <row r="13" spans="1:5" ht="12.75" customHeight="1" x14ac:dyDescent="0.2">
      <c r="A13" s="87" t="s">
        <v>7</v>
      </c>
      <c r="B13" s="88"/>
      <c r="C13" s="68"/>
      <c r="D13" s="68"/>
      <c r="E13" s="64"/>
    </row>
    <row r="14" spans="1:5" ht="12.75" customHeight="1" x14ac:dyDescent="0.2">
      <c r="A14" s="81" t="s">
        <v>126</v>
      </c>
      <c r="B14" s="29"/>
      <c r="C14" s="30">
        <f>'BF e TL'!B11</f>
        <v>125000</v>
      </c>
      <c r="D14" s="30">
        <v>150000</v>
      </c>
      <c r="E14" s="36">
        <v>7</v>
      </c>
    </row>
    <row r="15" spans="1:5" ht="12.75" customHeight="1" x14ac:dyDescent="0.2">
      <c r="A15" s="81" t="s">
        <v>127</v>
      </c>
      <c r="B15" s="29"/>
      <c r="C15" s="30">
        <f>'BF e TL'!B10</f>
        <v>166666.66666666666</v>
      </c>
      <c r="D15" s="30">
        <v>250000</v>
      </c>
      <c r="E15" s="36">
        <v>8</v>
      </c>
    </row>
    <row r="16" spans="1:5" ht="12.75" customHeight="1" x14ac:dyDescent="0.2">
      <c r="A16" s="81" t="s">
        <v>128</v>
      </c>
      <c r="B16" s="29"/>
      <c r="C16" s="30">
        <f>'Plano Financeiro CP'!E25</f>
        <v>7500.1133333333182</v>
      </c>
      <c r="D16" s="30">
        <v>7500</v>
      </c>
      <c r="E16" s="36">
        <v>9</v>
      </c>
    </row>
    <row r="17" spans="1:5" ht="12.75" customHeight="1" x14ac:dyDescent="0.2">
      <c r="A17" s="81" t="s">
        <v>8</v>
      </c>
      <c r="B17" s="29"/>
      <c r="C17" s="33">
        <f>'Plano Financeiro CP'!E31</f>
        <v>45465</v>
      </c>
      <c r="D17" s="30"/>
      <c r="E17" s="36">
        <v>10</v>
      </c>
    </row>
    <row r="18" spans="1:5" ht="12.75" customHeight="1" x14ac:dyDescent="0.2">
      <c r="A18" s="82" t="s">
        <v>87</v>
      </c>
      <c r="B18" s="83"/>
      <c r="C18" s="84">
        <f>SUM(C14:C17)</f>
        <v>344631.77999999997</v>
      </c>
      <c r="D18" s="85">
        <f>SUM(D14:D17)</f>
        <v>407500</v>
      </c>
      <c r="E18" s="86" t="s">
        <v>92</v>
      </c>
    </row>
    <row r="19" spans="1:5" ht="18.75" customHeight="1" thickBot="1" x14ac:dyDescent="0.25">
      <c r="A19" s="126" t="s">
        <v>9</v>
      </c>
      <c r="B19" s="130"/>
      <c r="C19" s="128">
        <f>C12+C18</f>
        <v>724631.78</v>
      </c>
      <c r="D19" s="129">
        <f>D12+D18</f>
        <v>807500</v>
      </c>
      <c r="E19" s="131" t="s">
        <v>93</v>
      </c>
    </row>
    <row r="20" spans="1:5" ht="12.75" customHeight="1" thickTop="1" x14ac:dyDescent="0.2">
      <c r="A20" s="89" t="s">
        <v>10</v>
      </c>
      <c r="B20" s="90"/>
      <c r="C20" s="91"/>
      <c r="D20" s="91"/>
      <c r="E20" s="92"/>
    </row>
    <row r="21" spans="1:5" ht="12.75" customHeight="1" x14ac:dyDescent="0.2">
      <c r="A21" s="32" t="s">
        <v>11</v>
      </c>
      <c r="B21" s="77"/>
      <c r="C21" s="44"/>
      <c r="D21" s="44"/>
      <c r="E21" s="45"/>
    </row>
    <row r="22" spans="1:5" ht="12.75" customHeight="1" x14ac:dyDescent="0.2">
      <c r="A22" s="81" t="s">
        <v>129</v>
      </c>
      <c r="B22" s="29"/>
      <c r="C22" s="30">
        <f>D22</f>
        <v>100000</v>
      </c>
      <c r="D22" s="30">
        <v>100000</v>
      </c>
      <c r="E22" s="36">
        <v>13</v>
      </c>
    </row>
    <row r="23" spans="1:5" ht="12.75" customHeight="1" x14ac:dyDescent="0.2">
      <c r="A23" s="81" t="s">
        <v>12</v>
      </c>
      <c r="B23" s="29"/>
      <c r="C23" s="30">
        <f>D23</f>
        <v>70000</v>
      </c>
      <c r="D23" s="30">
        <v>70000</v>
      </c>
      <c r="E23" s="36">
        <v>14</v>
      </c>
    </row>
    <row r="24" spans="1:5" ht="12.75" customHeight="1" x14ac:dyDescent="0.2">
      <c r="A24" s="81" t="s">
        <v>13</v>
      </c>
      <c r="B24" s="29"/>
      <c r="C24" s="33">
        <f>D24+D25</f>
        <v>-40000</v>
      </c>
      <c r="D24" s="30">
        <v>-30000</v>
      </c>
      <c r="E24" s="36">
        <v>15</v>
      </c>
    </row>
    <row r="25" spans="1:5" ht="12.75" customHeight="1" x14ac:dyDescent="0.2">
      <c r="A25" s="81" t="s">
        <v>130</v>
      </c>
      <c r="B25" s="29"/>
      <c r="C25" s="33">
        <f>'DR por natureza'!C24</f>
        <v>84319.28</v>
      </c>
      <c r="D25" s="30">
        <v>-10000</v>
      </c>
      <c r="E25" s="36">
        <v>16</v>
      </c>
    </row>
    <row r="26" spans="1:5" ht="12.75" customHeight="1" x14ac:dyDescent="0.2">
      <c r="A26" s="93" t="s">
        <v>88</v>
      </c>
      <c r="B26" s="94"/>
      <c r="C26" s="84">
        <f>SUM(C22:C25)</f>
        <v>214319.28</v>
      </c>
      <c r="D26" s="85">
        <f>SUM(D22:D25)</f>
        <v>130000</v>
      </c>
      <c r="E26" s="86" t="s">
        <v>103</v>
      </c>
    </row>
    <row r="27" spans="1:5" ht="12.75" customHeight="1" x14ac:dyDescent="0.2">
      <c r="A27" s="87" t="s">
        <v>14</v>
      </c>
      <c r="B27" s="74"/>
      <c r="C27" s="69"/>
      <c r="D27" s="69"/>
      <c r="E27" s="64"/>
    </row>
    <row r="28" spans="1:5" ht="12.75" customHeight="1" x14ac:dyDescent="0.2">
      <c r="A28" s="81" t="s">
        <v>131</v>
      </c>
      <c r="B28" s="29"/>
      <c r="C28" s="30">
        <f>CA!H13</f>
        <v>298125</v>
      </c>
      <c r="D28" s="30">
        <v>150000</v>
      </c>
      <c r="E28" s="36">
        <v>18</v>
      </c>
    </row>
    <row r="29" spans="1:5" ht="12.75" customHeight="1" x14ac:dyDescent="0.2">
      <c r="A29" s="81" t="s">
        <v>132</v>
      </c>
      <c r="B29" s="29"/>
      <c r="C29" s="30"/>
      <c r="D29" s="30"/>
      <c r="E29" s="35">
        <v>19</v>
      </c>
    </row>
    <row r="30" spans="1:5" ht="12.75" customHeight="1" x14ac:dyDescent="0.2">
      <c r="A30" s="81" t="s">
        <v>133</v>
      </c>
      <c r="B30" s="29"/>
      <c r="C30" s="30"/>
      <c r="D30" s="30"/>
      <c r="E30" s="36">
        <v>20</v>
      </c>
    </row>
    <row r="31" spans="1:5" ht="12.75" customHeight="1" x14ac:dyDescent="0.2">
      <c r="A31" s="81" t="s">
        <v>134</v>
      </c>
      <c r="B31" s="29"/>
      <c r="C31" s="33"/>
      <c r="D31" s="30"/>
      <c r="E31" s="36">
        <v>21</v>
      </c>
    </row>
    <row r="32" spans="1:5" ht="12.75" customHeight="1" x14ac:dyDescent="0.2">
      <c r="A32" s="81" t="s">
        <v>15</v>
      </c>
      <c r="B32" s="29"/>
      <c r="C32" s="33"/>
      <c r="D32" s="30"/>
      <c r="E32" s="35">
        <v>22</v>
      </c>
    </row>
    <row r="33" spans="1:5" ht="12.75" customHeight="1" x14ac:dyDescent="0.2">
      <c r="A33" s="82" t="s">
        <v>89</v>
      </c>
      <c r="B33" s="94"/>
      <c r="C33" s="84">
        <f>SUM(C28:C32)</f>
        <v>298125</v>
      </c>
      <c r="D33" s="85">
        <f>SUM(D28:D32)</f>
        <v>150000</v>
      </c>
      <c r="E33" s="86" t="s">
        <v>104</v>
      </c>
    </row>
    <row r="34" spans="1:5" ht="12.75" customHeight="1" x14ac:dyDescent="0.2">
      <c r="A34" s="87" t="s">
        <v>16</v>
      </c>
      <c r="B34" s="74"/>
      <c r="C34" s="69"/>
      <c r="D34" s="69"/>
      <c r="E34" s="64"/>
    </row>
    <row r="35" spans="1:5" ht="12.75" customHeight="1" x14ac:dyDescent="0.2">
      <c r="A35" s="81" t="s">
        <v>135</v>
      </c>
      <c r="B35" s="29"/>
      <c r="C35" s="30">
        <f>'BF e TL'!B13</f>
        <v>162500</v>
      </c>
      <c r="D35" s="30">
        <v>280000</v>
      </c>
      <c r="E35" s="36">
        <v>24</v>
      </c>
    </row>
    <row r="36" spans="1:5" ht="12.75" customHeight="1" x14ac:dyDescent="0.2">
      <c r="A36" s="81" t="s">
        <v>131</v>
      </c>
      <c r="B36" s="29"/>
      <c r="C36" s="33">
        <f>CA!H11</f>
        <v>49687.5</v>
      </c>
      <c r="D36" s="30">
        <v>247500</v>
      </c>
      <c r="E36" s="36">
        <v>25</v>
      </c>
    </row>
    <row r="37" spans="1:5" ht="12.75" customHeight="1" x14ac:dyDescent="0.2">
      <c r="A37" s="81" t="s">
        <v>136</v>
      </c>
      <c r="B37" s="29"/>
      <c r="C37" s="33"/>
      <c r="D37" s="30"/>
      <c r="E37" s="36">
        <v>26</v>
      </c>
    </row>
    <row r="38" spans="1:5" ht="12.75" customHeight="1" x14ac:dyDescent="0.2">
      <c r="A38" s="82" t="s">
        <v>90</v>
      </c>
      <c r="B38" s="83"/>
      <c r="C38" s="84">
        <f>SUM(C35:C37)</f>
        <v>212187.5</v>
      </c>
      <c r="D38" s="85">
        <f>SUM(D35:D37)</f>
        <v>527500</v>
      </c>
      <c r="E38" s="86" t="s">
        <v>137</v>
      </c>
    </row>
    <row r="39" spans="1:5" ht="12.75" customHeight="1" thickBot="1" x14ac:dyDescent="0.25">
      <c r="A39" s="126" t="s">
        <v>17</v>
      </c>
      <c r="B39" s="127"/>
      <c r="C39" s="128">
        <f>C26+C33+C38</f>
        <v>724631.78</v>
      </c>
      <c r="D39" s="129">
        <f>D26+D33+D38</f>
        <v>807500</v>
      </c>
      <c r="E39" s="100" t="s">
        <v>138</v>
      </c>
    </row>
    <row r="40" spans="1:5" ht="12.75" customHeight="1" thickTop="1" thickBot="1" x14ac:dyDescent="0.25">
      <c r="A40" s="6"/>
      <c r="B40" s="4"/>
      <c r="C40" s="5"/>
      <c r="D40" s="5"/>
      <c r="E40" s="37"/>
    </row>
    <row r="42" spans="1:5" x14ac:dyDescent="0.2">
      <c r="C42" s="1">
        <f>C19-C39</f>
        <v>0</v>
      </c>
      <c r="D42" s="1">
        <f>D19-D39</f>
        <v>0</v>
      </c>
    </row>
  </sheetData>
  <mergeCells count="4">
    <mergeCell ref="A3:A4"/>
    <mergeCell ref="B3:B4"/>
    <mergeCell ref="C3:D3"/>
    <mergeCell ref="E3:E4"/>
  </mergeCells>
  <phoneticPr fontId="6" type="noConversion"/>
  <pageMargins left="0.75" right="0.75" top="1" bottom="1" header="0" footer="0"/>
  <pageSetup paperSize="9" scale="8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E25"/>
  <sheetViews>
    <sheetView zoomScaleNormal="100" workbookViewId="0">
      <selection activeCell="D4" sqref="D4"/>
    </sheetView>
  </sheetViews>
  <sheetFormatPr defaultRowHeight="12.75" x14ac:dyDescent="0.2"/>
  <cols>
    <col min="1" max="1" width="63.85546875" customWidth="1"/>
    <col min="2" max="2" width="9.28515625" bestFit="1" customWidth="1"/>
    <col min="3" max="3" width="11.85546875" customWidth="1"/>
    <col min="4" max="4" width="10.42578125" bestFit="1" customWidth="1"/>
    <col min="5" max="5" width="21.140625" bestFit="1" customWidth="1"/>
  </cols>
  <sheetData>
    <row r="1" spans="1:5" x14ac:dyDescent="0.2">
      <c r="A1" s="24" t="str">
        <f>Balanço!A1</f>
        <v>Petrol</v>
      </c>
      <c r="B1" s="24"/>
      <c r="C1" s="24"/>
      <c r="D1" s="24"/>
    </row>
    <row r="2" spans="1:5" ht="12.75" customHeight="1" thickBot="1" x14ac:dyDescent="0.25">
      <c r="A2" s="24" t="s">
        <v>184</v>
      </c>
      <c r="B2" s="24"/>
      <c r="C2" s="24"/>
      <c r="E2" s="15" t="str">
        <f>Balanço!E2</f>
        <v>Valores expressos em milhares de euros</v>
      </c>
    </row>
    <row r="3" spans="1:5" ht="13.5" thickBot="1" x14ac:dyDescent="0.25">
      <c r="A3" s="200" t="s">
        <v>0</v>
      </c>
      <c r="B3" s="200" t="s">
        <v>1</v>
      </c>
      <c r="C3" s="204" t="s">
        <v>2</v>
      </c>
      <c r="D3" s="205"/>
      <c r="E3" s="200" t="s">
        <v>55</v>
      </c>
    </row>
    <row r="4" spans="1:5" ht="13.5" thickBot="1" x14ac:dyDescent="0.25">
      <c r="A4" s="201"/>
      <c r="B4" s="201"/>
      <c r="C4" s="79">
        <f>Balanço!C4</f>
        <v>2014</v>
      </c>
      <c r="D4" s="79">
        <f>Balanço!D4</f>
        <v>2013</v>
      </c>
      <c r="E4" s="201"/>
    </row>
    <row r="5" spans="1:5" x14ac:dyDescent="0.2">
      <c r="A5" s="134" t="s">
        <v>141</v>
      </c>
      <c r="B5" s="38"/>
      <c r="C5" s="153">
        <f>Pressupostos!B7</f>
        <v>1000000</v>
      </c>
      <c r="D5" s="153">
        <v>950000</v>
      </c>
      <c r="E5" s="138">
        <v>1</v>
      </c>
    </row>
    <row r="6" spans="1:5" x14ac:dyDescent="0.2">
      <c r="A6" s="139" t="s">
        <v>142</v>
      </c>
      <c r="B6" s="29"/>
      <c r="C6" s="154"/>
      <c r="D6" s="154"/>
      <c r="E6" s="140">
        <v>2</v>
      </c>
    </row>
    <row r="7" spans="1:5" x14ac:dyDescent="0.2">
      <c r="A7" s="141" t="s">
        <v>143</v>
      </c>
      <c r="B7" s="94"/>
      <c r="C7" s="155"/>
      <c r="D7" s="156"/>
      <c r="E7" s="142">
        <v>3</v>
      </c>
    </row>
    <row r="8" spans="1:5" x14ac:dyDescent="0.2">
      <c r="A8" s="143" t="s">
        <v>144</v>
      </c>
      <c r="B8" s="144"/>
      <c r="C8" s="157">
        <f>SUM(C5:C7)</f>
        <v>1000000</v>
      </c>
      <c r="D8" s="157">
        <f>SUM(D5:D7)</f>
        <v>950000</v>
      </c>
      <c r="E8" s="145" t="s">
        <v>94</v>
      </c>
    </row>
    <row r="9" spans="1:5" x14ac:dyDescent="0.2">
      <c r="A9" s="135" t="s">
        <v>145</v>
      </c>
      <c r="B9" s="95"/>
      <c r="C9" s="158">
        <f>Pressupostos!B7*Pressupostos!B8</f>
        <v>750000</v>
      </c>
      <c r="D9" s="158">
        <v>745000</v>
      </c>
      <c r="E9" s="146">
        <v>5</v>
      </c>
    </row>
    <row r="10" spans="1:5" x14ac:dyDescent="0.2">
      <c r="A10" s="135" t="s">
        <v>146</v>
      </c>
      <c r="B10" s="95"/>
      <c r="C10" s="158">
        <f>Pressupostos!B16</f>
        <v>65000</v>
      </c>
      <c r="D10" s="158">
        <v>70000</v>
      </c>
      <c r="E10" s="146">
        <v>6</v>
      </c>
    </row>
    <row r="11" spans="1:5" x14ac:dyDescent="0.2">
      <c r="A11" s="139" t="s">
        <v>147</v>
      </c>
      <c r="B11" s="29"/>
      <c r="C11" s="154">
        <f>Pressupostos!B14</f>
        <v>47000</v>
      </c>
      <c r="D11" s="154">
        <v>45000</v>
      </c>
      <c r="E11" s="140">
        <v>7</v>
      </c>
    </row>
    <row r="12" spans="1:5" x14ac:dyDescent="0.2">
      <c r="A12" s="139" t="s">
        <v>148</v>
      </c>
      <c r="B12" s="29"/>
      <c r="C12" s="154"/>
      <c r="D12" s="154"/>
      <c r="E12" s="140">
        <v>8</v>
      </c>
    </row>
    <row r="13" spans="1:5" x14ac:dyDescent="0.2">
      <c r="A13" s="139" t="s">
        <v>149</v>
      </c>
      <c r="B13" s="29"/>
      <c r="C13" s="154"/>
      <c r="D13" s="154"/>
      <c r="E13" s="140">
        <v>9</v>
      </c>
    </row>
    <row r="14" spans="1:5" x14ac:dyDescent="0.2">
      <c r="A14" s="141" t="s">
        <v>150</v>
      </c>
      <c r="B14" s="94"/>
      <c r="C14" s="156"/>
      <c r="D14" s="156"/>
      <c r="E14" s="142">
        <v>10</v>
      </c>
    </row>
    <row r="15" spans="1:5" x14ac:dyDescent="0.2">
      <c r="A15" s="143" t="s">
        <v>151</v>
      </c>
      <c r="B15" s="144"/>
      <c r="C15" s="157">
        <f>SUM(C9:C14)</f>
        <v>862000</v>
      </c>
      <c r="D15" s="157">
        <f>SUM(D9:D14)</f>
        <v>860000</v>
      </c>
      <c r="E15" s="147" t="s">
        <v>152</v>
      </c>
    </row>
    <row r="16" spans="1:5" x14ac:dyDescent="0.2">
      <c r="A16" s="148" t="s">
        <v>153</v>
      </c>
      <c r="B16" s="149"/>
      <c r="C16" s="159">
        <f>C8-C15</f>
        <v>138000</v>
      </c>
      <c r="D16" s="159">
        <f>D8-D15</f>
        <v>90000</v>
      </c>
      <c r="E16" s="150" t="s">
        <v>154</v>
      </c>
    </row>
    <row r="17" spans="1:5" x14ac:dyDescent="0.2">
      <c r="A17" s="139" t="s">
        <v>155</v>
      </c>
      <c r="B17" s="29"/>
      <c r="C17" s="154">
        <f>Pressupostos!B15</f>
        <v>20000</v>
      </c>
      <c r="D17" s="154">
        <v>20000</v>
      </c>
      <c r="E17" s="140">
        <v>13</v>
      </c>
    </row>
    <row r="18" spans="1:5" x14ac:dyDescent="0.2">
      <c r="A18" s="141" t="s">
        <v>156</v>
      </c>
      <c r="B18" s="94"/>
      <c r="C18" s="155"/>
      <c r="D18" s="156"/>
      <c r="E18" s="142">
        <v>14</v>
      </c>
    </row>
    <row r="19" spans="1:5" x14ac:dyDescent="0.2">
      <c r="A19" s="148" t="s">
        <v>157</v>
      </c>
      <c r="B19" s="149"/>
      <c r="C19" s="159">
        <f>C16-C17-C18</f>
        <v>118000</v>
      </c>
      <c r="D19" s="159">
        <f>D16-D17-D18</f>
        <v>70000</v>
      </c>
      <c r="E19" s="150" t="s">
        <v>158</v>
      </c>
    </row>
    <row r="20" spans="1:5" x14ac:dyDescent="0.2">
      <c r="A20" s="151" t="s">
        <v>159</v>
      </c>
      <c r="B20" s="95"/>
      <c r="C20" s="158"/>
      <c r="D20" s="158"/>
      <c r="E20" s="146">
        <v>16</v>
      </c>
    </row>
    <row r="21" spans="1:5" x14ac:dyDescent="0.2">
      <c r="A21" s="152" t="s">
        <v>160</v>
      </c>
      <c r="B21" s="29"/>
      <c r="C21" s="154">
        <f>SUM('Plano Financeiro CP'!B17:E17)</f>
        <v>-33680.719999999994</v>
      </c>
      <c r="D21" s="154">
        <v>-80000</v>
      </c>
      <c r="E21" s="140">
        <v>17</v>
      </c>
    </row>
    <row r="22" spans="1:5" x14ac:dyDescent="0.2">
      <c r="A22" s="96" t="s">
        <v>20</v>
      </c>
      <c r="B22" s="94"/>
      <c r="C22" s="84">
        <f>SUM(C19:C21)</f>
        <v>84319.28</v>
      </c>
      <c r="D22" s="85">
        <f>SUM(D19:D21)</f>
        <v>-10000</v>
      </c>
      <c r="E22" s="86" t="s">
        <v>161</v>
      </c>
    </row>
    <row r="23" spans="1:5" x14ac:dyDescent="0.2">
      <c r="A23" s="151" t="s">
        <v>162</v>
      </c>
      <c r="B23" s="95"/>
      <c r="C23" s="158"/>
      <c r="D23" s="158"/>
      <c r="E23" s="146">
        <v>18</v>
      </c>
    </row>
    <row r="24" spans="1:5" ht="13.5" thickBot="1" x14ac:dyDescent="0.25">
      <c r="A24" s="97" t="s">
        <v>130</v>
      </c>
      <c r="B24" s="98"/>
      <c r="C24" s="99">
        <f>C22-C23</f>
        <v>84319.28</v>
      </c>
      <c r="D24" s="99">
        <f>D22-D23</f>
        <v>-10000</v>
      </c>
      <c r="E24" s="100" t="s">
        <v>163</v>
      </c>
    </row>
    <row r="25" spans="1:5" ht="14.25" thickTop="1" thickBot="1" x14ac:dyDescent="0.25">
      <c r="A25" s="7"/>
      <c r="B25" s="8"/>
      <c r="C25" s="101"/>
      <c r="D25" s="40"/>
      <c r="E25" s="42"/>
    </row>
  </sheetData>
  <mergeCells count="4">
    <mergeCell ref="A3:A4"/>
    <mergeCell ref="B3:B4"/>
    <mergeCell ref="C3:D3"/>
    <mergeCell ref="E3:E4"/>
  </mergeCells>
  <phoneticPr fontId="6" type="noConversion"/>
  <pageMargins left="0.75" right="0.75" top="1" bottom="1" header="0" footer="0"/>
  <pageSetup paperSize="9" scale="7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F30"/>
  <sheetViews>
    <sheetView zoomScaleNormal="100" workbookViewId="0">
      <selection activeCell="B18" sqref="B18"/>
    </sheetView>
  </sheetViews>
  <sheetFormatPr defaultRowHeight="12.75" x14ac:dyDescent="0.2"/>
  <cols>
    <col min="1" max="1" width="49.42578125" bestFit="1" customWidth="1"/>
    <col min="2" max="4" width="12.85546875" customWidth="1"/>
  </cols>
  <sheetData>
    <row r="1" spans="1:6" x14ac:dyDescent="0.2">
      <c r="A1" s="24" t="str">
        <f>Balanço!A1</f>
        <v>Petrol</v>
      </c>
      <c r="B1" s="24"/>
    </row>
    <row r="2" spans="1:6" ht="13.5" thickBot="1" x14ac:dyDescent="0.25">
      <c r="A2" s="24" t="s">
        <v>185</v>
      </c>
      <c r="D2" s="15" t="str">
        <f>Balanço!E2</f>
        <v>Valores expressos em milhares de euros</v>
      </c>
    </row>
    <row r="3" spans="1:6" ht="12.75" customHeight="1" thickBot="1" x14ac:dyDescent="0.25">
      <c r="A3" s="200" t="s">
        <v>0</v>
      </c>
      <c r="B3" s="202" t="s">
        <v>2</v>
      </c>
      <c r="C3" s="203"/>
      <c r="D3" s="200" t="s">
        <v>55</v>
      </c>
    </row>
    <row r="4" spans="1:6" ht="12.75" customHeight="1" thickBot="1" x14ac:dyDescent="0.25">
      <c r="A4" s="201"/>
      <c r="B4" s="79">
        <f>Balanço!C4</f>
        <v>2014</v>
      </c>
      <c r="C4" s="79">
        <f>Balanço!D4</f>
        <v>2013</v>
      </c>
      <c r="D4" s="201"/>
    </row>
    <row r="5" spans="1:6" ht="18.75" customHeight="1" x14ac:dyDescent="0.2">
      <c r="A5" s="102" t="s">
        <v>21</v>
      </c>
      <c r="B5" s="114">
        <f>Balanço!C26</f>
        <v>214319.28</v>
      </c>
      <c r="C5" s="115">
        <f>Balanço!D26</f>
        <v>130000</v>
      </c>
      <c r="D5" s="116">
        <v>1</v>
      </c>
      <c r="E5" s="1"/>
      <c r="F5" s="1"/>
    </row>
    <row r="6" spans="1:6" ht="12.75" customHeight="1" x14ac:dyDescent="0.2">
      <c r="A6" s="103" t="s">
        <v>22</v>
      </c>
      <c r="B6" s="104">
        <f>Balanço!C33</f>
        <v>298125</v>
      </c>
      <c r="C6" s="104">
        <f>Balanço!D33</f>
        <v>150000</v>
      </c>
      <c r="D6" s="41">
        <v>2</v>
      </c>
      <c r="E6" s="1"/>
      <c r="F6" s="1"/>
    </row>
    <row r="7" spans="1:6" ht="12.75" customHeight="1" x14ac:dyDescent="0.2">
      <c r="A7" s="105" t="s">
        <v>113</v>
      </c>
      <c r="B7" s="106">
        <f>B5+B6</f>
        <v>512444.28</v>
      </c>
      <c r="C7" s="104">
        <f>C5+C6</f>
        <v>280000</v>
      </c>
      <c r="D7" s="107" t="s">
        <v>67</v>
      </c>
      <c r="E7" s="1"/>
      <c r="F7" s="1"/>
    </row>
    <row r="8" spans="1:6" ht="12.75" customHeight="1" x14ac:dyDescent="0.2">
      <c r="A8" s="103" t="s">
        <v>23</v>
      </c>
      <c r="B8" s="104">
        <f>Balanço!C12</f>
        <v>380000</v>
      </c>
      <c r="C8" s="104">
        <f>Balanço!D12</f>
        <v>400000</v>
      </c>
      <c r="D8" s="41">
        <v>4</v>
      </c>
      <c r="E8" s="1"/>
      <c r="F8" s="1"/>
    </row>
    <row r="9" spans="1:6" ht="12.75" customHeight="1" x14ac:dyDescent="0.2">
      <c r="A9" s="108" t="s">
        <v>114</v>
      </c>
      <c r="B9" s="109">
        <f>B7-B8</f>
        <v>132444.28000000003</v>
      </c>
      <c r="C9" s="109">
        <f>C7-C8</f>
        <v>-120000</v>
      </c>
      <c r="D9" s="86" t="s">
        <v>108</v>
      </c>
      <c r="E9" s="1"/>
      <c r="F9" s="1"/>
    </row>
    <row r="10" spans="1:6" ht="18.75" customHeight="1" x14ac:dyDescent="0.2">
      <c r="A10" s="132" t="s">
        <v>127</v>
      </c>
      <c r="B10" s="66">
        <f>Pressupostos!B7/12*Pressupostos!B12</f>
        <v>166666.66666666666</v>
      </c>
      <c r="C10" s="44">
        <f>Balanço!D15</f>
        <v>250000</v>
      </c>
      <c r="D10" s="67">
        <v>6</v>
      </c>
      <c r="E10" s="1"/>
      <c r="F10" s="1"/>
    </row>
    <row r="11" spans="1:6" ht="12.75" customHeight="1" x14ac:dyDescent="0.2">
      <c r="A11" s="133" t="s">
        <v>126</v>
      </c>
      <c r="B11" s="104">
        <f>CA!B6</f>
        <v>125000</v>
      </c>
      <c r="C11" s="104">
        <f>Balanço!D14</f>
        <v>150000</v>
      </c>
      <c r="D11" s="41">
        <v>7</v>
      </c>
      <c r="E11" s="1"/>
      <c r="F11" s="1"/>
    </row>
    <row r="12" spans="1:6" ht="12.75" customHeight="1" x14ac:dyDescent="0.2">
      <c r="A12" s="105" t="s">
        <v>115</v>
      </c>
      <c r="B12" s="110">
        <f>B10+B11</f>
        <v>291666.66666666663</v>
      </c>
      <c r="C12" s="111">
        <f>C10+C11</f>
        <v>400000</v>
      </c>
      <c r="D12" s="107" t="s">
        <v>109</v>
      </c>
      <c r="E12" s="1"/>
      <c r="F12" s="1"/>
    </row>
    <row r="13" spans="1:6" ht="12.75" customHeight="1" x14ac:dyDescent="0.2">
      <c r="A13" s="133" t="s">
        <v>135</v>
      </c>
      <c r="B13" s="104">
        <v>162500</v>
      </c>
      <c r="C13" s="104">
        <f>Balanço!D35</f>
        <v>280000</v>
      </c>
      <c r="D13" s="41">
        <v>9</v>
      </c>
      <c r="E13" s="1"/>
      <c r="F13" s="1"/>
    </row>
    <row r="14" spans="1:6" ht="12.75" customHeight="1" x14ac:dyDescent="0.2">
      <c r="A14" s="105" t="s">
        <v>116</v>
      </c>
      <c r="B14" s="110">
        <f>B13</f>
        <v>162500</v>
      </c>
      <c r="C14" s="111">
        <f>C13</f>
        <v>280000</v>
      </c>
      <c r="D14" s="107" t="s">
        <v>110</v>
      </c>
      <c r="E14" s="1"/>
      <c r="F14" s="1"/>
    </row>
    <row r="15" spans="1:6" ht="12.75" customHeight="1" x14ac:dyDescent="0.2">
      <c r="A15" s="108" t="s">
        <v>117</v>
      </c>
      <c r="B15" s="109">
        <f>B12-B14</f>
        <v>129166.66666666663</v>
      </c>
      <c r="C15" s="109">
        <f>C12-C14</f>
        <v>120000</v>
      </c>
      <c r="D15" s="86" t="s">
        <v>111</v>
      </c>
      <c r="E15" s="1"/>
      <c r="F15" s="1"/>
    </row>
    <row r="16" spans="1:6" ht="12.75" customHeight="1" thickBot="1" x14ac:dyDescent="0.25">
      <c r="A16" s="112" t="s">
        <v>118</v>
      </c>
      <c r="B16" s="113">
        <f>B9-B15</f>
        <v>3277.6133333334001</v>
      </c>
      <c r="C16" s="113">
        <f>C9-C15</f>
        <v>-240000</v>
      </c>
      <c r="D16" s="22" t="s">
        <v>112</v>
      </c>
      <c r="E16" s="1"/>
      <c r="F16" s="1"/>
    </row>
    <row r="17" spans="1:6" ht="12.75" customHeight="1" thickTop="1" thickBot="1" x14ac:dyDescent="0.25">
      <c r="A17" s="54"/>
      <c r="B17" s="4"/>
      <c r="C17" s="4"/>
      <c r="D17" s="37"/>
      <c r="E17" s="1"/>
      <c r="F17" s="1"/>
    </row>
    <row r="18" spans="1:6" x14ac:dyDescent="0.2">
      <c r="B18" s="1"/>
      <c r="E18" s="1"/>
      <c r="F18" s="1"/>
    </row>
    <row r="19" spans="1:6" x14ac:dyDescent="0.2">
      <c r="A19" s="24" t="str">
        <f>Balanço!A1</f>
        <v>Petrol</v>
      </c>
      <c r="B19" s="24"/>
    </row>
    <row r="20" spans="1:6" ht="13.5" thickBot="1" x14ac:dyDescent="0.25">
      <c r="A20" s="24" t="s">
        <v>186</v>
      </c>
      <c r="D20" s="15" t="str">
        <f>Balanço!E2</f>
        <v>Valores expressos em milhares de euros</v>
      </c>
    </row>
    <row r="21" spans="1:6" ht="13.5" customHeight="1" thickBot="1" x14ac:dyDescent="0.25">
      <c r="A21" s="200" t="s">
        <v>0</v>
      </c>
      <c r="B21" s="202" t="s">
        <v>2</v>
      </c>
      <c r="C21" s="203"/>
      <c r="D21" s="200" t="s">
        <v>55</v>
      </c>
    </row>
    <row r="22" spans="1:6" ht="13.5" thickBot="1" x14ac:dyDescent="0.25">
      <c r="A22" s="201"/>
      <c r="B22" s="79">
        <f>Balanço!C4</f>
        <v>2014</v>
      </c>
      <c r="C22" s="79">
        <f>Balanço!D4</f>
        <v>2013</v>
      </c>
      <c r="D22" s="201"/>
    </row>
    <row r="23" spans="1:6" ht="18.75" customHeight="1" x14ac:dyDescent="0.2">
      <c r="A23" s="134" t="s">
        <v>128</v>
      </c>
      <c r="B23" s="117">
        <f>Balanço!C16</f>
        <v>7500.1133333333182</v>
      </c>
      <c r="C23" s="118">
        <f>Balanço!D16</f>
        <v>7500</v>
      </c>
      <c r="D23" s="116">
        <v>1</v>
      </c>
    </row>
    <row r="24" spans="1:6" x14ac:dyDescent="0.2">
      <c r="A24" s="81" t="s">
        <v>24</v>
      </c>
      <c r="B24" s="33">
        <f>Balanço!C17</f>
        <v>45465</v>
      </c>
      <c r="C24" s="30">
        <f>Balanço!D17</f>
        <v>0</v>
      </c>
      <c r="D24" s="41">
        <v>2</v>
      </c>
    </row>
    <row r="25" spans="1:6" x14ac:dyDescent="0.2">
      <c r="A25" s="108" t="s">
        <v>119</v>
      </c>
      <c r="B25" s="85">
        <f>B23+B24</f>
        <v>52965.11333333332</v>
      </c>
      <c r="C25" s="85">
        <f>C23+C24</f>
        <v>7500</v>
      </c>
      <c r="D25" s="86" t="s">
        <v>67</v>
      </c>
    </row>
    <row r="26" spans="1:6" ht="18.75" customHeight="1" x14ac:dyDescent="0.2">
      <c r="A26" s="135" t="s">
        <v>131</v>
      </c>
      <c r="B26" s="71">
        <f>Balanço!C36</f>
        <v>49687.5</v>
      </c>
      <c r="C26" s="69">
        <f>Balanço!D36</f>
        <v>247500</v>
      </c>
      <c r="D26" s="70">
        <v>4</v>
      </c>
    </row>
    <row r="27" spans="1:6" x14ac:dyDescent="0.2">
      <c r="A27" s="136" t="s">
        <v>136</v>
      </c>
      <c r="B27" s="33">
        <f>Balanço!C37</f>
        <v>0</v>
      </c>
      <c r="C27" s="30">
        <f>Balanço!D37</f>
        <v>0</v>
      </c>
      <c r="D27" s="41">
        <v>6</v>
      </c>
    </row>
    <row r="28" spans="1:6" x14ac:dyDescent="0.2">
      <c r="A28" s="108" t="s">
        <v>120</v>
      </c>
      <c r="B28" s="84">
        <f>B26+B27</f>
        <v>49687.5</v>
      </c>
      <c r="C28" s="85">
        <f>C26+C27</f>
        <v>247500</v>
      </c>
      <c r="D28" s="86" t="s">
        <v>121</v>
      </c>
    </row>
    <row r="29" spans="1:6" ht="18.75" customHeight="1" thickBot="1" x14ac:dyDescent="0.25">
      <c r="A29" s="112" t="s">
        <v>118</v>
      </c>
      <c r="B29" s="21">
        <f>B25-B28</f>
        <v>3277.61333333332</v>
      </c>
      <c r="C29" s="21">
        <f>C25-C28</f>
        <v>-240000</v>
      </c>
      <c r="D29" s="22" t="s">
        <v>122</v>
      </c>
    </row>
    <row r="30" spans="1:6" ht="14.25" thickTop="1" thickBot="1" x14ac:dyDescent="0.25">
      <c r="A30" s="54"/>
      <c r="B30" s="4"/>
      <c r="C30" s="4"/>
      <c r="D30" s="4"/>
    </row>
  </sheetData>
  <mergeCells count="6">
    <mergeCell ref="D3:D4"/>
    <mergeCell ref="D21:D22"/>
    <mergeCell ref="A3:A4"/>
    <mergeCell ref="B3:C3"/>
    <mergeCell ref="A21:A22"/>
    <mergeCell ref="B21:C21"/>
  </mergeCells>
  <phoneticPr fontId="6" type="noConversion"/>
  <pageMargins left="0.75" right="0.75" top="1" bottom="1" header="0" footer="0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F27"/>
  <sheetViews>
    <sheetView zoomScaleNormal="100" workbookViewId="0">
      <selection activeCell="A2" sqref="A2"/>
    </sheetView>
  </sheetViews>
  <sheetFormatPr defaultRowHeight="12.75" x14ac:dyDescent="0.2"/>
  <cols>
    <col min="1" max="1" width="66.28515625" style="18" bestFit="1" customWidth="1"/>
    <col min="2" max="5" width="9.85546875" style="18" customWidth="1"/>
    <col min="6" max="6" width="14.42578125" style="18" customWidth="1"/>
    <col min="7" max="16384" width="9.140625" style="18"/>
  </cols>
  <sheetData>
    <row r="1" spans="1:6" ht="12.75" customHeight="1" x14ac:dyDescent="0.2">
      <c r="A1" s="13" t="str">
        <f>Balanço!A1</f>
        <v>Petrol</v>
      </c>
      <c r="B1" s="13"/>
      <c r="C1" s="13"/>
      <c r="D1" s="13"/>
      <c r="E1" s="13"/>
      <c r="F1" s="13"/>
    </row>
    <row r="2" spans="1:6" ht="12.75" customHeight="1" thickBot="1" x14ac:dyDescent="0.25">
      <c r="A2" s="14" t="str">
        <f>"Orçamento de tesouraria previsional para " &amp; Pressupostos!B2</f>
        <v>Orçamento de tesouraria previsional para 2014</v>
      </c>
      <c r="B2" s="14"/>
      <c r="C2" s="14"/>
      <c r="D2" s="14"/>
      <c r="E2" s="14"/>
      <c r="F2" s="15" t="str">
        <f>Balanço!E2</f>
        <v>Valores expressos em milhares de euros</v>
      </c>
    </row>
    <row r="3" spans="1:6" ht="13.5" thickBot="1" x14ac:dyDescent="0.25">
      <c r="A3" s="19" t="s">
        <v>0</v>
      </c>
      <c r="B3" s="3" t="s">
        <v>36</v>
      </c>
      <c r="C3" s="19" t="s">
        <v>37</v>
      </c>
      <c r="D3" s="3" t="s">
        <v>38</v>
      </c>
      <c r="E3" s="3" t="s">
        <v>39</v>
      </c>
      <c r="F3" s="19" t="s">
        <v>55</v>
      </c>
    </row>
    <row r="4" spans="1:6" x14ac:dyDescent="0.2">
      <c r="A4" s="27" t="s">
        <v>57</v>
      </c>
      <c r="B4" s="38"/>
      <c r="C4" s="38"/>
      <c r="D4" s="38"/>
      <c r="E4" s="38"/>
      <c r="F4" s="38"/>
    </row>
    <row r="5" spans="1:6" x14ac:dyDescent="0.2">
      <c r="A5" s="43" t="s">
        <v>61</v>
      </c>
      <c r="B5" s="44">
        <f>CA!B37</f>
        <v>300000</v>
      </c>
      <c r="C5" s="44">
        <f>CA!C37</f>
        <v>200000</v>
      </c>
      <c r="D5" s="44">
        <f>CA!D37</f>
        <v>300000</v>
      </c>
      <c r="E5" s="44">
        <f>CA!E37</f>
        <v>283333.33333333331</v>
      </c>
      <c r="F5" s="55">
        <v>1</v>
      </c>
    </row>
    <row r="6" spans="1:6" x14ac:dyDescent="0.2">
      <c r="A6" s="46" t="s">
        <v>62</v>
      </c>
      <c r="B6" s="47"/>
      <c r="C6" s="56"/>
      <c r="D6" s="47"/>
      <c r="E6" s="47"/>
      <c r="F6" s="55">
        <v>2</v>
      </c>
    </row>
    <row r="7" spans="1:6" ht="13.5" thickBot="1" x14ac:dyDescent="0.25">
      <c r="A7" s="48" t="s">
        <v>95</v>
      </c>
      <c r="B7" s="49">
        <f>SUM(B5:B6)</f>
        <v>300000</v>
      </c>
      <c r="C7" s="49">
        <f>SUM(C5:C6)</f>
        <v>200000</v>
      </c>
      <c r="D7" s="49">
        <f>SUM(D5:D6)</f>
        <v>300000</v>
      </c>
      <c r="E7" s="49">
        <f>SUM(E5:E6)</f>
        <v>283333.33333333331</v>
      </c>
      <c r="F7" s="57" t="s">
        <v>67</v>
      </c>
    </row>
    <row r="8" spans="1:6" x14ac:dyDescent="0.2">
      <c r="A8" s="50" t="s">
        <v>56</v>
      </c>
      <c r="B8" s="38"/>
      <c r="C8" s="38"/>
      <c r="D8" s="38"/>
      <c r="E8" s="38"/>
      <c r="F8" s="38"/>
    </row>
    <row r="9" spans="1:6" x14ac:dyDescent="0.2">
      <c r="A9" s="43" t="s">
        <v>58</v>
      </c>
      <c r="B9" s="44">
        <f>CA!B21</f>
        <v>280000</v>
      </c>
      <c r="C9" s="44">
        <f>CA!C21</f>
        <v>37500</v>
      </c>
      <c r="D9" s="44">
        <f>CA!D21</f>
        <v>300000</v>
      </c>
      <c r="E9" s="44">
        <f>CA!E21</f>
        <v>225000</v>
      </c>
      <c r="F9" s="55">
        <v>4</v>
      </c>
    </row>
    <row r="10" spans="1:6" x14ac:dyDescent="0.2">
      <c r="A10" s="46" t="s">
        <v>59</v>
      </c>
      <c r="B10" s="44">
        <f>CA!B32</f>
        <v>26321.428571428572</v>
      </c>
      <c r="C10" s="44">
        <f>CA!C32</f>
        <v>26321.428571428572</v>
      </c>
      <c r="D10" s="44">
        <f>CA!D32</f>
        <v>29678.571428571428</v>
      </c>
      <c r="E10" s="44">
        <f>CA!E32</f>
        <v>29678.571428571428</v>
      </c>
      <c r="F10" s="55">
        <v>5</v>
      </c>
    </row>
    <row r="11" spans="1:6" x14ac:dyDescent="0.2">
      <c r="A11" s="46" t="s">
        <v>60</v>
      </c>
      <c r="B11" s="44"/>
      <c r="C11" s="44"/>
      <c r="D11" s="44"/>
      <c r="E11" s="44"/>
      <c r="F11" s="55">
        <v>6</v>
      </c>
    </row>
    <row r="12" spans="1:6" x14ac:dyDescent="0.2">
      <c r="A12" s="137" t="s">
        <v>140</v>
      </c>
      <c r="B12" s="44"/>
      <c r="C12" s="44"/>
      <c r="D12" s="44"/>
      <c r="E12" s="44"/>
      <c r="F12" s="55">
        <v>7</v>
      </c>
    </row>
    <row r="13" spans="1:6" ht="13.5" thickBot="1" x14ac:dyDescent="0.25">
      <c r="A13" s="48" t="s">
        <v>96</v>
      </c>
      <c r="B13" s="49">
        <f>SUM(B9:B12)</f>
        <v>306321.42857142858</v>
      </c>
      <c r="C13" s="49">
        <f>SUM(C9:C12)</f>
        <v>63821.428571428572</v>
      </c>
      <c r="D13" s="49">
        <f>SUM(D9:D12)</f>
        <v>329678.57142857142</v>
      </c>
      <c r="E13" s="49">
        <f>SUM(E9:E12)</f>
        <v>254678.57142857142</v>
      </c>
      <c r="F13" s="57" t="s">
        <v>99</v>
      </c>
    </row>
    <row r="14" spans="1:6" x14ac:dyDescent="0.2">
      <c r="A14" s="27" t="s">
        <v>177</v>
      </c>
      <c r="B14" s="51">
        <f>B7-B13</f>
        <v>-6321.4285714285797</v>
      </c>
      <c r="C14" s="51">
        <f>C7-C13</f>
        <v>136178.57142857142</v>
      </c>
      <c r="D14" s="51">
        <f>D7-D13</f>
        <v>-29678.57142857142</v>
      </c>
      <c r="E14" s="51">
        <f>E7-E13</f>
        <v>28654.761904761894</v>
      </c>
      <c r="F14" s="38" t="s">
        <v>100</v>
      </c>
    </row>
    <row r="15" spans="1:6" x14ac:dyDescent="0.2">
      <c r="A15" s="58" t="s">
        <v>48</v>
      </c>
      <c r="B15" s="44">
        <f>Balanço!D16</f>
        <v>7500</v>
      </c>
      <c r="C15" s="44">
        <f>B17</f>
        <v>1178.5714285714203</v>
      </c>
      <c r="D15" s="44">
        <f>C17</f>
        <v>137357.14285714284</v>
      </c>
      <c r="E15" s="44">
        <f>D17</f>
        <v>107678.57142857142</v>
      </c>
      <c r="F15" s="55">
        <v>10</v>
      </c>
    </row>
    <row r="16" spans="1:6" x14ac:dyDescent="0.2">
      <c r="A16" s="58" t="s">
        <v>63</v>
      </c>
      <c r="B16" s="44">
        <f>B14</f>
        <v>-6321.4285714285797</v>
      </c>
      <c r="C16" s="44">
        <f>C14</f>
        <v>136178.57142857142</v>
      </c>
      <c r="D16" s="44">
        <f>D14</f>
        <v>-29678.57142857142</v>
      </c>
      <c r="E16" s="44">
        <f>E14</f>
        <v>28654.761904761894</v>
      </c>
      <c r="F16" s="55">
        <v>11</v>
      </c>
    </row>
    <row r="17" spans="1:6" x14ac:dyDescent="0.2">
      <c r="A17" s="39" t="s">
        <v>97</v>
      </c>
      <c r="B17" s="76">
        <f>B15+B16</f>
        <v>1178.5714285714203</v>
      </c>
      <c r="C17" s="76">
        <f>C15+C16</f>
        <v>137357.14285714284</v>
      </c>
      <c r="D17" s="76">
        <f>D15+D16</f>
        <v>107678.57142857142</v>
      </c>
      <c r="E17" s="76">
        <f>E15+E16</f>
        <v>136333.33333333331</v>
      </c>
      <c r="F17" s="77" t="s">
        <v>64</v>
      </c>
    </row>
    <row r="18" spans="1:6" ht="13.5" thickBot="1" x14ac:dyDescent="0.25">
      <c r="A18" s="58" t="s">
        <v>98</v>
      </c>
      <c r="B18" s="59">
        <f>Pressupostos!$B$5</f>
        <v>7500</v>
      </c>
      <c r="C18" s="59">
        <f>Pressupostos!$B$5</f>
        <v>7500</v>
      </c>
      <c r="D18" s="59">
        <f>Pressupostos!$B$5</f>
        <v>7500</v>
      </c>
      <c r="E18" s="59">
        <f>Pressupostos!$B$5</f>
        <v>7500</v>
      </c>
      <c r="F18" s="60">
        <v>13</v>
      </c>
    </row>
    <row r="19" spans="1:6" ht="13.5" thickBot="1" x14ac:dyDescent="0.25">
      <c r="A19" s="187" t="s">
        <v>176</v>
      </c>
      <c r="B19" s="21">
        <f>B17-B18</f>
        <v>-6321.4285714285797</v>
      </c>
      <c r="C19" s="21">
        <f>C17-C18</f>
        <v>129857.14285714284</v>
      </c>
      <c r="D19" s="21">
        <f>D17-D18</f>
        <v>100178.57142857142</v>
      </c>
      <c r="E19" s="21">
        <f>E17-E18</f>
        <v>128833.33333333331</v>
      </c>
      <c r="F19" s="20" t="s">
        <v>65</v>
      </c>
    </row>
    <row r="20" spans="1:6" ht="14.25" thickTop="1" thickBot="1" x14ac:dyDescent="0.25">
      <c r="A20" s="61"/>
      <c r="B20" s="62"/>
      <c r="C20" s="62"/>
      <c r="D20" s="62"/>
      <c r="E20" s="62"/>
      <c r="F20" s="2"/>
    </row>
    <row r="22" spans="1:6" x14ac:dyDescent="0.2">
      <c r="E22" s="78"/>
    </row>
    <row r="23" spans="1:6" x14ac:dyDescent="0.2">
      <c r="B23" s="78"/>
      <c r="D23" s="78"/>
    </row>
    <row r="24" spans="1:6" x14ac:dyDescent="0.2">
      <c r="B24" s="78"/>
      <c r="D24" s="78"/>
    </row>
    <row r="25" spans="1:6" x14ac:dyDescent="0.2">
      <c r="B25" s="78"/>
      <c r="D25" s="78"/>
    </row>
    <row r="26" spans="1:6" x14ac:dyDescent="0.2">
      <c r="B26" s="78"/>
    </row>
    <row r="27" spans="1:6" x14ac:dyDescent="0.2">
      <c r="B27" s="78"/>
    </row>
  </sheetData>
  <phoneticPr fontId="6" type="noConversion"/>
  <printOptions horizontalCentered="1"/>
  <pageMargins left="0.75" right="0.75" top="0.98425196850393704" bottom="0.98425196850393704" header="0" footer="0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H33"/>
  <sheetViews>
    <sheetView zoomScaleNormal="100" workbookViewId="0">
      <selection activeCell="G17" sqref="G17"/>
    </sheetView>
  </sheetViews>
  <sheetFormatPr defaultRowHeight="12.75" x14ac:dyDescent="0.2"/>
  <cols>
    <col min="1" max="1" width="48.28515625" style="23" bestFit="1" customWidth="1"/>
    <col min="2" max="5" width="8.85546875" style="18" customWidth="1"/>
    <col min="6" max="6" width="20" style="18" customWidth="1"/>
    <col min="7" max="16384" width="9.140625" style="18"/>
  </cols>
  <sheetData>
    <row r="1" spans="1:8" ht="12.75" customHeight="1" x14ac:dyDescent="0.2">
      <c r="A1" s="13" t="str">
        <f>Balanço!A1</f>
        <v>Petrol</v>
      </c>
      <c r="B1" s="13"/>
      <c r="C1" s="13"/>
      <c r="D1" s="13"/>
      <c r="E1" s="13"/>
      <c r="F1" s="13"/>
    </row>
    <row r="2" spans="1:8" ht="12.75" customHeight="1" thickBot="1" x14ac:dyDescent="0.25">
      <c r="A2" s="14" t="str">
        <f>"Plano financeiro de curto prazo para " &amp; Pressupostos!B2</f>
        <v>Plano financeiro de curto prazo para 2014</v>
      </c>
      <c r="B2" s="14"/>
      <c r="C2" s="14"/>
      <c r="D2" s="14"/>
      <c r="E2" s="14"/>
      <c r="F2" s="15" t="str">
        <f>Balanço!E2</f>
        <v>Valores expressos em milhares de euros</v>
      </c>
    </row>
    <row r="3" spans="1:8" ht="13.5" thickBot="1" x14ac:dyDescent="0.25">
      <c r="A3" s="16" t="s">
        <v>0</v>
      </c>
      <c r="B3" s="17" t="s">
        <v>36</v>
      </c>
      <c r="C3" s="16" t="s">
        <v>37</v>
      </c>
      <c r="D3" s="17" t="s">
        <v>38</v>
      </c>
      <c r="E3" s="17" t="s">
        <v>39</v>
      </c>
      <c r="F3" s="17" t="s">
        <v>55</v>
      </c>
    </row>
    <row r="4" spans="1:8" x14ac:dyDescent="0.2">
      <c r="A4" s="63" t="s">
        <v>66</v>
      </c>
      <c r="B4" s="167"/>
      <c r="C4" s="188"/>
      <c r="D4" s="167"/>
      <c r="E4" s="167"/>
      <c r="F4" s="160"/>
    </row>
    <row r="5" spans="1:8" x14ac:dyDescent="0.2">
      <c r="A5" s="161" t="s">
        <v>175</v>
      </c>
      <c r="B5" s="189"/>
      <c r="C5" s="190"/>
      <c r="D5" s="189"/>
      <c r="E5" s="189"/>
      <c r="F5" s="162"/>
    </row>
    <row r="6" spans="1:8" x14ac:dyDescent="0.2">
      <c r="A6" s="163" t="s">
        <v>164</v>
      </c>
      <c r="B6" s="189"/>
      <c r="C6" s="190"/>
      <c r="D6" s="189"/>
      <c r="E6" s="189"/>
      <c r="F6" s="162">
        <v>1</v>
      </c>
    </row>
    <row r="7" spans="1:8" x14ac:dyDescent="0.2">
      <c r="A7" s="163" t="s">
        <v>165</v>
      </c>
      <c r="B7" s="189">
        <f>CA!I11</f>
        <v>49687.5</v>
      </c>
      <c r="C7" s="190"/>
      <c r="D7" s="189"/>
      <c r="E7" s="189"/>
      <c r="F7" s="162">
        <v>4</v>
      </c>
    </row>
    <row r="8" spans="1:8" x14ac:dyDescent="0.2">
      <c r="A8" s="164" t="s">
        <v>166</v>
      </c>
      <c r="B8" s="191">
        <f>B6-B7</f>
        <v>-49687.5</v>
      </c>
      <c r="C8" s="191">
        <f>C6-C7</f>
        <v>0</v>
      </c>
      <c r="D8" s="191">
        <f>D6-D7</f>
        <v>0</v>
      </c>
      <c r="E8" s="191">
        <f>E6-E7</f>
        <v>0</v>
      </c>
      <c r="F8" s="165" t="s">
        <v>68</v>
      </c>
    </row>
    <row r="9" spans="1:8" x14ac:dyDescent="0.2">
      <c r="A9" s="166" t="s">
        <v>167</v>
      </c>
      <c r="B9" s="192"/>
      <c r="C9" s="193"/>
      <c r="D9" s="192"/>
      <c r="E9" s="192"/>
      <c r="F9" s="167">
        <v>8</v>
      </c>
    </row>
    <row r="10" spans="1:8" x14ac:dyDescent="0.2">
      <c r="A10" s="168" t="s">
        <v>168</v>
      </c>
      <c r="B10" s="192"/>
      <c r="C10" s="193">
        <v>46174</v>
      </c>
      <c r="D10" s="192">
        <v>-29447</v>
      </c>
      <c r="E10" s="192">
        <v>28738</v>
      </c>
      <c r="F10" s="167"/>
    </row>
    <row r="11" spans="1:8" x14ac:dyDescent="0.2">
      <c r="A11" s="168" t="s">
        <v>169</v>
      </c>
      <c r="B11" s="192">
        <v>87809</v>
      </c>
      <c r="C11" s="193">
        <v>-87809</v>
      </c>
      <c r="D11" s="192"/>
      <c r="E11" s="192"/>
      <c r="F11" s="167"/>
      <c r="G11" s="78"/>
    </row>
    <row r="12" spans="1:8" x14ac:dyDescent="0.2">
      <c r="A12" s="169" t="s">
        <v>170</v>
      </c>
      <c r="B12" s="119">
        <f>B11-B10</f>
        <v>87809</v>
      </c>
      <c r="C12" s="119">
        <f>C11-C10</f>
        <v>-133983</v>
      </c>
      <c r="D12" s="119">
        <f>D11-D10</f>
        <v>29447</v>
      </c>
      <c r="E12" s="119">
        <f>E11-E10</f>
        <v>-28738</v>
      </c>
      <c r="F12" s="170"/>
    </row>
    <row r="13" spans="1:8" x14ac:dyDescent="0.2">
      <c r="A13" s="171" t="s">
        <v>171</v>
      </c>
      <c r="B13" s="194">
        <f>B8+B12</f>
        <v>38121.5</v>
      </c>
      <c r="C13" s="194">
        <f>C8+C12</f>
        <v>-133983</v>
      </c>
      <c r="D13" s="194">
        <f>D8+D12</f>
        <v>29447</v>
      </c>
      <c r="E13" s="194">
        <f>E8+E12</f>
        <v>-28738</v>
      </c>
      <c r="F13" s="172" t="s">
        <v>107</v>
      </c>
      <c r="H13" s="18">
        <f>133983-87809</f>
        <v>46174</v>
      </c>
    </row>
    <row r="14" spans="1:8" x14ac:dyDescent="0.2">
      <c r="A14" s="173" t="s">
        <v>45</v>
      </c>
      <c r="B14" s="192"/>
      <c r="C14" s="193"/>
      <c r="D14" s="192"/>
      <c r="E14" s="192"/>
      <c r="F14" s="160"/>
      <c r="H14" s="18">
        <f>29679-232</f>
        <v>29447</v>
      </c>
    </row>
    <row r="15" spans="1:8" x14ac:dyDescent="0.2">
      <c r="A15" s="174" t="s">
        <v>172</v>
      </c>
      <c r="B15" s="189"/>
      <c r="C15" s="190"/>
      <c r="D15" s="190"/>
      <c r="E15" s="190"/>
      <c r="F15" s="162">
        <v>11</v>
      </c>
      <c r="H15" s="18">
        <f>28655+83</f>
        <v>28738</v>
      </c>
    </row>
    <row r="16" spans="1:8" x14ac:dyDescent="0.2">
      <c r="A16" s="174" t="s">
        <v>173</v>
      </c>
      <c r="B16" s="189">
        <f>CA!I12</f>
        <v>31800</v>
      </c>
      <c r="C16" s="190">
        <f>-C32</f>
        <v>2195.2249999999999</v>
      </c>
      <c r="D16" s="190">
        <f>-D32</f>
        <v>-230.87</v>
      </c>
      <c r="E16" s="190">
        <f>-E32</f>
        <v>-83.635000000000005</v>
      </c>
      <c r="F16" s="162">
        <v>12</v>
      </c>
    </row>
    <row r="17" spans="1:6" x14ac:dyDescent="0.2">
      <c r="A17" s="169" t="s">
        <v>174</v>
      </c>
      <c r="B17" s="119">
        <f>B15-B16</f>
        <v>-31800</v>
      </c>
      <c r="C17" s="119">
        <f>C15-C16</f>
        <v>-2195.2249999999999</v>
      </c>
      <c r="D17" s="119">
        <f>D15-D16</f>
        <v>230.87</v>
      </c>
      <c r="E17" s="119">
        <f>E15-E16</f>
        <v>83.635000000000005</v>
      </c>
      <c r="F17" s="175" t="s">
        <v>69</v>
      </c>
    </row>
    <row r="18" spans="1:6" x14ac:dyDescent="0.2">
      <c r="A18" s="176" t="s">
        <v>47</v>
      </c>
      <c r="B18" s="195">
        <f>'Orçamento de Tesouraria'!B16</f>
        <v>-6321.4285714285797</v>
      </c>
      <c r="C18" s="195">
        <f>'Orçamento de Tesouraria'!C16</f>
        <v>136178.57142857142</v>
      </c>
      <c r="D18" s="195">
        <f>'Orçamento de Tesouraria'!D16</f>
        <v>-29678.57142857142</v>
      </c>
      <c r="E18" s="195">
        <f>'Orçamento de Tesouraria'!E16</f>
        <v>28654.761904761894</v>
      </c>
      <c r="F18" s="177">
        <v>16</v>
      </c>
    </row>
    <row r="19" spans="1:6" ht="13.5" thickBot="1" x14ac:dyDescent="0.25">
      <c r="A19" s="120" t="s">
        <v>79</v>
      </c>
      <c r="B19" s="21">
        <f>B13+B17+B18</f>
        <v>7.1428571420256048E-2</v>
      </c>
      <c r="C19" s="21">
        <f>SUM(C17:C18)</f>
        <v>133983.34642857141</v>
      </c>
      <c r="D19" s="21">
        <f>SUM(D17:D18)</f>
        <v>-29447.701428571421</v>
      </c>
      <c r="E19" s="21">
        <f>SUM(E17:E18)</f>
        <v>28738.396904761892</v>
      </c>
      <c r="F19" s="22" t="s">
        <v>80</v>
      </c>
    </row>
    <row r="20" spans="1:6" ht="13.5" thickTop="1" x14ac:dyDescent="0.2">
      <c r="A20" s="63" t="s">
        <v>70</v>
      </c>
      <c r="B20" s="196"/>
      <c r="C20" s="197"/>
      <c r="D20" s="196"/>
      <c r="E20" s="196"/>
      <c r="F20" s="160"/>
    </row>
    <row r="21" spans="1:6" x14ac:dyDescent="0.2">
      <c r="A21" s="178" t="s">
        <v>48</v>
      </c>
      <c r="B21" s="192">
        <f>'Orçamento de Tesouraria'!B15</f>
        <v>7500</v>
      </c>
      <c r="C21" s="193">
        <f>B25</f>
        <v>7500.0714285714203</v>
      </c>
      <c r="D21" s="193">
        <f>C25</f>
        <v>7500.4178571428401</v>
      </c>
      <c r="E21" s="193">
        <f>D25</f>
        <v>7499.7164285714216</v>
      </c>
      <c r="F21" s="167">
        <v>18</v>
      </c>
    </row>
    <row r="22" spans="1:6" x14ac:dyDescent="0.2">
      <c r="A22" s="179" t="s">
        <v>49</v>
      </c>
      <c r="B22" s="189">
        <f>'Orçamento de Tesouraria'!B16</f>
        <v>-6321.4285714285797</v>
      </c>
      <c r="C22" s="189">
        <f>'Orçamento de Tesouraria'!C16</f>
        <v>136178.57142857142</v>
      </c>
      <c r="D22" s="189">
        <f>'Orçamento de Tesouraria'!D16</f>
        <v>-29678.57142857142</v>
      </c>
      <c r="E22" s="189">
        <f>'Orçamento de Tesouraria'!E16</f>
        <v>28654.761904761894</v>
      </c>
      <c r="F22" s="180">
        <v>19</v>
      </c>
    </row>
    <row r="23" spans="1:6" x14ac:dyDescent="0.2">
      <c r="A23" s="179" t="s">
        <v>50</v>
      </c>
      <c r="B23" s="190">
        <f>B13</f>
        <v>38121.5</v>
      </c>
      <c r="C23" s="190">
        <f>C13</f>
        <v>-133983</v>
      </c>
      <c r="D23" s="190">
        <f>D13</f>
        <v>29447</v>
      </c>
      <c r="E23" s="190">
        <f>E13</f>
        <v>-28738</v>
      </c>
      <c r="F23" s="180">
        <v>20</v>
      </c>
    </row>
    <row r="24" spans="1:6" x14ac:dyDescent="0.2">
      <c r="A24" s="179" t="s">
        <v>45</v>
      </c>
      <c r="B24" s="190">
        <f>B17</f>
        <v>-31800</v>
      </c>
      <c r="C24" s="190">
        <f>C17</f>
        <v>-2195.2249999999999</v>
      </c>
      <c r="D24" s="190">
        <f>D17</f>
        <v>230.87</v>
      </c>
      <c r="E24" s="190">
        <f>E17</f>
        <v>83.635000000000005</v>
      </c>
      <c r="F24" s="180">
        <v>21</v>
      </c>
    </row>
    <row r="25" spans="1:6" x14ac:dyDescent="0.2">
      <c r="A25" s="72" t="s">
        <v>51</v>
      </c>
      <c r="B25" s="73">
        <f>SUM(B21:B24)</f>
        <v>7500.0714285714203</v>
      </c>
      <c r="C25" s="73">
        <f>SUM(C21:C24)</f>
        <v>7500.4178571428401</v>
      </c>
      <c r="D25" s="73">
        <f>SUM(D21:D24)</f>
        <v>7499.7164285714216</v>
      </c>
      <c r="E25" s="73">
        <f>SUM(E21:E24)</f>
        <v>7500.1133333333182</v>
      </c>
      <c r="F25" s="121" t="s">
        <v>71</v>
      </c>
    </row>
    <row r="26" spans="1:6" x14ac:dyDescent="0.2">
      <c r="A26" s="178" t="s">
        <v>46</v>
      </c>
      <c r="B26" s="192">
        <f>Pressupostos!$B$5</f>
        <v>7500</v>
      </c>
      <c r="C26" s="192">
        <f>Pressupostos!$B$5</f>
        <v>7500</v>
      </c>
      <c r="D26" s="192">
        <f>Pressupostos!$B$5</f>
        <v>7500</v>
      </c>
      <c r="E26" s="192">
        <f>Pressupostos!$B$5</f>
        <v>7500</v>
      </c>
      <c r="F26" s="167">
        <v>23</v>
      </c>
    </row>
    <row r="27" spans="1:6" ht="26.25" thickBot="1" x14ac:dyDescent="0.25">
      <c r="A27" s="122" t="s">
        <v>101</v>
      </c>
      <c r="B27" s="53">
        <f>B25-B26</f>
        <v>7.1428571420256048E-2</v>
      </c>
      <c r="C27" s="53">
        <f>C25-C26</f>
        <v>0.4178571428401483</v>
      </c>
      <c r="D27" s="53">
        <f>D25-D26</f>
        <v>-0.2835714285783979</v>
      </c>
      <c r="E27" s="53">
        <f>E25-E26</f>
        <v>0.11333333331822359</v>
      </c>
      <c r="F27" s="123" t="s">
        <v>72</v>
      </c>
    </row>
    <row r="28" spans="1:6" ht="13.5" thickTop="1" x14ac:dyDescent="0.2">
      <c r="A28" s="63" t="s">
        <v>73</v>
      </c>
      <c r="B28" s="197"/>
      <c r="C28" s="197"/>
      <c r="D28" s="196"/>
      <c r="E28" s="196"/>
      <c r="F28" s="160"/>
    </row>
    <row r="29" spans="1:6" x14ac:dyDescent="0.2">
      <c r="A29" s="179" t="s">
        <v>52</v>
      </c>
      <c r="B29" s="192"/>
      <c r="C29" s="193">
        <f>B31</f>
        <v>-87809</v>
      </c>
      <c r="D29" s="193">
        <f>C31</f>
        <v>46174</v>
      </c>
      <c r="E29" s="193">
        <f>D31</f>
        <v>16727</v>
      </c>
      <c r="F29" s="167">
        <v>25</v>
      </c>
    </row>
    <row r="30" spans="1:6" x14ac:dyDescent="0.2">
      <c r="A30" s="179" t="s">
        <v>74</v>
      </c>
      <c r="B30" s="189">
        <f>-B12</f>
        <v>-87809</v>
      </c>
      <c r="C30" s="189">
        <f>-C12</f>
        <v>133983</v>
      </c>
      <c r="D30" s="189">
        <f>-D12</f>
        <v>-29447</v>
      </c>
      <c r="E30" s="189">
        <f>-E13</f>
        <v>28738</v>
      </c>
      <c r="F30" s="180">
        <v>26</v>
      </c>
    </row>
    <row r="31" spans="1:6" x14ac:dyDescent="0.2">
      <c r="A31" s="124" t="s">
        <v>53</v>
      </c>
      <c r="B31" s="125">
        <f>B29+B30</f>
        <v>-87809</v>
      </c>
      <c r="C31" s="125">
        <f>C29+C30</f>
        <v>46174</v>
      </c>
      <c r="D31" s="125">
        <f>D29+D30</f>
        <v>16727</v>
      </c>
      <c r="E31" s="125">
        <f>E29+E30</f>
        <v>45465</v>
      </c>
      <c r="F31" s="65" t="s">
        <v>75</v>
      </c>
    </row>
    <row r="32" spans="1:6" ht="13.5" thickBot="1" x14ac:dyDescent="0.25">
      <c r="A32" s="181" t="s">
        <v>54</v>
      </c>
      <c r="B32" s="198"/>
      <c r="C32" s="198">
        <f>B31*Pressupostos!B21</f>
        <v>-2195.2249999999999</v>
      </c>
      <c r="D32" s="198">
        <f>C31*Pressupostos!B20</f>
        <v>230.87</v>
      </c>
      <c r="E32" s="198">
        <f>D31*Pressupostos!B20</f>
        <v>83.635000000000005</v>
      </c>
      <c r="F32" s="182">
        <v>28</v>
      </c>
    </row>
    <row r="33" spans="1:6" ht="14.25" thickTop="1" thickBot="1" x14ac:dyDescent="0.25">
      <c r="A33" s="183"/>
      <c r="B33" s="184"/>
      <c r="C33" s="185"/>
      <c r="D33" s="184"/>
      <c r="E33" s="184"/>
      <c r="F33" s="186"/>
    </row>
  </sheetData>
  <phoneticPr fontId="6" type="noConversion"/>
  <printOptions horizontalCentered="1"/>
  <pageMargins left="0.75" right="0.75" top="0.98425196850393704" bottom="0.98425196850393704" header="0" footer="0"/>
  <pageSetup paperSize="9" scale="84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2:I39"/>
  <sheetViews>
    <sheetView zoomScaleNormal="100" workbookViewId="0">
      <selection activeCell="B9" sqref="B9"/>
    </sheetView>
  </sheetViews>
  <sheetFormatPr defaultRowHeight="12.75" x14ac:dyDescent="0.2"/>
  <cols>
    <col min="1" max="1" width="22.5703125" bestFit="1" customWidth="1"/>
    <col min="2" max="2" width="10.7109375" bestFit="1" customWidth="1"/>
  </cols>
  <sheetData>
    <row r="2" spans="1:9" x14ac:dyDescent="0.2">
      <c r="A2" t="s">
        <v>26</v>
      </c>
    </row>
    <row r="4" spans="1:9" x14ac:dyDescent="0.2">
      <c r="A4" t="s">
        <v>32</v>
      </c>
      <c r="B4" s="1">
        <f>Balanço!D14</f>
        <v>150000</v>
      </c>
    </row>
    <row r="5" spans="1:9" x14ac:dyDescent="0.2">
      <c r="A5" t="s">
        <v>27</v>
      </c>
      <c r="B5" s="1">
        <f>Pressupostos!B7*Pressupostos!B8</f>
        <v>750000</v>
      </c>
    </row>
    <row r="6" spans="1:9" x14ac:dyDescent="0.2">
      <c r="A6" t="s">
        <v>28</v>
      </c>
      <c r="B6" s="1">
        <f>B5/12*Pressupostos!B13</f>
        <v>125000</v>
      </c>
      <c r="C6" s="1"/>
      <c r="D6" s="1"/>
    </row>
    <row r="7" spans="1:9" x14ac:dyDescent="0.2">
      <c r="A7" t="s">
        <v>26</v>
      </c>
      <c r="B7" s="1">
        <f>B5+B6-B4</f>
        <v>725000</v>
      </c>
      <c r="C7" s="1"/>
      <c r="D7" s="1"/>
    </row>
    <row r="8" spans="1:9" x14ac:dyDescent="0.2">
      <c r="B8" s="1"/>
      <c r="C8" s="1"/>
      <c r="D8" s="1"/>
    </row>
    <row r="9" spans="1:9" x14ac:dyDescent="0.2">
      <c r="A9" t="s">
        <v>33</v>
      </c>
      <c r="B9" s="25">
        <v>2021</v>
      </c>
      <c r="C9" s="25">
        <v>2020</v>
      </c>
      <c r="D9" s="25">
        <v>2019</v>
      </c>
      <c r="E9" s="25">
        <v>2018</v>
      </c>
      <c r="F9" s="25">
        <v>2017</v>
      </c>
      <c r="G9" s="25">
        <v>2016</v>
      </c>
      <c r="H9" s="25">
        <v>2015</v>
      </c>
      <c r="I9" s="25">
        <v>2014</v>
      </c>
    </row>
    <row r="10" spans="1:9" x14ac:dyDescent="0.2">
      <c r="A10" t="s">
        <v>34</v>
      </c>
      <c r="B10" s="1">
        <f t="shared" ref="B10:H10" si="0">C13</f>
        <v>49687.5</v>
      </c>
      <c r="C10" s="1">
        <f t="shared" si="0"/>
        <v>99375</v>
      </c>
      <c r="D10" s="1">
        <f t="shared" si="0"/>
        <v>149062.5</v>
      </c>
      <c r="E10" s="1">
        <f t="shared" si="0"/>
        <v>198750</v>
      </c>
      <c r="F10" s="1">
        <f t="shared" si="0"/>
        <v>248437.5</v>
      </c>
      <c r="G10" s="1">
        <f t="shared" si="0"/>
        <v>298125</v>
      </c>
      <c r="H10" s="1">
        <f t="shared" si="0"/>
        <v>347812.5</v>
      </c>
      <c r="I10" s="1">
        <f>Pressupostos!B9</f>
        <v>397500</v>
      </c>
    </row>
    <row r="11" spans="1:9" x14ac:dyDescent="0.2">
      <c r="A11" t="s">
        <v>30</v>
      </c>
      <c r="B11" s="1">
        <f t="shared" ref="B11:H11" si="1">C11</f>
        <v>49687.5</v>
      </c>
      <c r="C11" s="1">
        <f t="shared" si="1"/>
        <v>49687.5</v>
      </c>
      <c r="D11" s="1">
        <f t="shared" si="1"/>
        <v>49687.5</v>
      </c>
      <c r="E11" s="1">
        <f t="shared" si="1"/>
        <v>49687.5</v>
      </c>
      <c r="F11" s="1">
        <f t="shared" si="1"/>
        <v>49687.5</v>
      </c>
      <c r="G11" s="1">
        <f t="shared" si="1"/>
        <v>49687.5</v>
      </c>
      <c r="H11" s="1">
        <f t="shared" si="1"/>
        <v>49687.5</v>
      </c>
      <c r="I11" s="1">
        <f>$I$10/8</f>
        <v>49687.5</v>
      </c>
    </row>
    <row r="12" spans="1:9" x14ac:dyDescent="0.2">
      <c r="A12" t="s">
        <v>29</v>
      </c>
      <c r="B12" s="1">
        <f>B10*Pressupostos!$B$10</f>
        <v>3975</v>
      </c>
      <c r="C12" s="1">
        <f>C10*Pressupostos!$B$10</f>
        <v>7950</v>
      </c>
      <c r="D12" s="1">
        <f>D10*Pressupostos!$B$10</f>
        <v>11925</v>
      </c>
      <c r="E12" s="1">
        <f>E10*Pressupostos!$B$10</f>
        <v>15900</v>
      </c>
      <c r="F12" s="1">
        <f>F10*Pressupostos!$B$10</f>
        <v>19875</v>
      </c>
      <c r="G12" s="1">
        <f>G10*Pressupostos!$B$10</f>
        <v>23850</v>
      </c>
      <c r="H12" s="1">
        <f>H10*Pressupostos!$B$10</f>
        <v>27825</v>
      </c>
      <c r="I12" s="1">
        <f>I10*Pressupostos!$B$10</f>
        <v>31800</v>
      </c>
    </row>
    <row r="13" spans="1:9" x14ac:dyDescent="0.2">
      <c r="A13" t="s">
        <v>35</v>
      </c>
      <c r="B13" s="1">
        <f t="shared" ref="B13:I13" si="2">B10-B11</f>
        <v>0</v>
      </c>
      <c r="C13" s="1">
        <f t="shared" si="2"/>
        <v>49687.5</v>
      </c>
      <c r="D13" s="1">
        <f t="shared" si="2"/>
        <v>99375</v>
      </c>
      <c r="E13" s="1">
        <f t="shared" si="2"/>
        <v>149062.5</v>
      </c>
      <c r="F13" s="1">
        <f t="shared" si="2"/>
        <v>198750</v>
      </c>
      <c r="G13" s="1">
        <f t="shared" si="2"/>
        <v>248437.5</v>
      </c>
      <c r="H13" s="1">
        <f t="shared" si="2"/>
        <v>298125</v>
      </c>
      <c r="I13" s="1">
        <f t="shared" si="2"/>
        <v>347812.5</v>
      </c>
    </row>
    <row r="14" spans="1:9" x14ac:dyDescent="0.2">
      <c r="B14" s="1"/>
      <c r="C14" s="1"/>
      <c r="D14" s="1"/>
    </row>
    <row r="15" spans="1:9" x14ac:dyDescent="0.2">
      <c r="B15" s="1"/>
    </row>
    <row r="16" spans="1:9" x14ac:dyDescent="0.2">
      <c r="B16" t="s">
        <v>36</v>
      </c>
      <c r="C16" t="s">
        <v>37</v>
      </c>
      <c r="D16" t="s">
        <v>38</v>
      </c>
      <c r="E16" t="s">
        <v>39</v>
      </c>
    </row>
    <row r="17" spans="1:6" x14ac:dyDescent="0.2">
      <c r="A17" t="s">
        <v>18</v>
      </c>
    </row>
    <row r="18" spans="1:6" x14ac:dyDescent="0.2">
      <c r="A18" t="s">
        <v>41</v>
      </c>
      <c r="B18" s="11">
        <v>0.15</v>
      </c>
      <c r="C18" s="11">
        <v>0.3</v>
      </c>
      <c r="D18" s="11">
        <v>0.3</v>
      </c>
      <c r="E18" s="11">
        <v>0.25</v>
      </c>
      <c r="F18" s="11">
        <f>SUM(B18:E18)</f>
        <v>1</v>
      </c>
    </row>
    <row r="20" spans="1:6" x14ac:dyDescent="0.2">
      <c r="A20" t="s">
        <v>26</v>
      </c>
      <c r="B20" s="1">
        <f>+B27</f>
        <v>37500</v>
      </c>
      <c r="C20" s="1">
        <f>+C27</f>
        <v>300000</v>
      </c>
      <c r="D20" s="1">
        <f>+D27</f>
        <v>225000</v>
      </c>
      <c r="E20" s="1">
        <f>+E27</f>
        <v>162500</v>
      </c>
      <c r="F20" s="1">
        <f>SUM(B20:E20)</f>
        <v>725000</v>
      </c>
    </row>
    <row r="21" spans="1:6" x14ac:dyDescent="0.2">
      <c r="A21" t="s">
        <v>43</v>
      </c>
      <c r="B21" s="1">
        <f>Balanço!D35</f>
        <v>280000</v>
      </c>
      <c r="C21" s="1">
        <f>B20</f>
        <v>37500</v>
      </c>
      <c r="D21" s="1">
        <f>C20</f>
        <v>300000</v>
      </c>
      <c r="E21" s="1">
        <f>D20</f>
        <v>225000</v>
      </c>
      <c r="F21" s="1">
        <f>SUM(B21:E21)</f>
        <v>842500</v>
      </c>
    </row>
    <row r="22" spans="1:6" x14ac:dyDescent="0.2">
      <c r="B22" s="1"/>
      <c r="C22" s="1"/>
      <c r="D22" s="1"/>
      <c r="E22" s="1"/>
      <c r="F22" s="1">
        <f>E20</f>
        <v>162500</v>
      </c>
    </row>
    <row r="23" spans="1:6" x14ac:dyDescent="0.2">
      <c r="B23" s="1"/>
      <c r="C23" s="1"/>
      <c r="D23" s="1"/>
      <c r="E23" s="1"/>
      <c r="F23" s="1"/>
    </row>
    <row r="24" spans="1:6" x14ac:dyDescent="0.2">
      <c r="A24" t="s">
        <v>32</v>
      </c>
      <c r="B24" s="1">
        <f>B4</f>
        <v>150000</v>
      </c>
      <c r="C24" s="1">
        <f>B26</f>
        <v>75000</v>
      </c>
      <c r="D24" s="1">
        <f>C26</f>
        <v>150000</v>
      </c>
      <c r="E24" s="1">
        <f>D26</f>
        <v>150000</v>
      </c>
      <c r="F24" s="1">
        <f>E26</f>
        <v>125000</v>
      </c>
    </row>
    <row r="25" spans="1:6" x14ac:dyDescent="0.2">
      <c r="A25" t="s">
        <v>27</v>
      </c>
      <c r="B25" s="1">
        <f>$B$5*B18</f>
        <v>112500</v>
      </c>
      <c r="C25" s="1">
        <f>$B$5*C18</f>
        <v>225000</v>
      </c>
      <c r="D25" s="1">
        <f>$B$5*D18</f>
        <v>225000</v>
      </c>
      <c r="E25" s="1">
        <f>$B$5*E18</f>
        <v>187500</v>
      </c>
      <c r="F25" s="1">
        <f>SUM(B25:E25)</f>
        <v>750000</v>
      </c>
    </row>
    <row r="26" spans="1:6" x14ac:dyDescent="0.2">
      <c r="A26" t="s">
        <v>28</v>
      </c>
      <c r="B26" s="1">
        <f>B25/3*Pressupostos!$B$13</f>
        <v>75000</v>
      </c>
      <c r="C26" s="1">
        <f>C25/3*Pressupostos!$B$13</f>
        <v>150000</v>
      </c>
      <c r="D26" s="1">
        <f>D25/3*Pressupostos!$B$13</f>
        <v>150000</v>
      </c>
      <c r="E26" s="1">
        <f>E25/3*Pressupostos!$B$13</f>
        <v>125000</v>
      </c>
      <c r="F26" s="1">
        <f>E25/3*Pressupostos!$B$13</f>
        <v>125000</v>
      </c>
    </row>
    <row r="27" spans="1:6" x14ac:dyDescent="0.2">
      <c r="A27" t="s">
        <v>26</v>
      </c>
      <c r="B27" s="1">
        <f>B25+B26-B24</f>
        <v>37500</v>
      </c>
      <c r="C27" s="1">
        <f>C25+C26-C24</f>
        <v>300000</v>
      </c>
      <c r="D27" s="1">
        <f>D25+D26-D24</f>
        <v>225000</v>
      </c>
      <c r="E27" s="1">
        <f>E25+E26-E24</f>
        <v>162500</v>
      </c>
      <c r="F27" s="1">
        <f>SUM(B27:E27)</f>
        <v>725000</v>
      </c>
    </row>
    <row r="29" spans="1:6" x14ac:dyDescent="0.2">
      <c r="B29">
        <v>3</v>
      </c>
      <c r="C29">
        <v>3</v>
      </c>
      <c r="D29">
        <v>4</v>
      </c>
      <c r="E29">
        <v>4</v>
      </c>
      <c r="F29" s="1">
        <f>SUM(B29:E29)</f>
        <v>14</v>
      </c>
    </row>
    <row r="30" spans="1:6" x14ac:dyDescent="0.2">
      <c r="A30" t="s">
        <v>44</v>
      </c>
      <c r="B30" s="1">
        <f>Pressupostos!$B$14/14*CA!B29</f>
        <v>10071.428571428572</v>
      </c>
      <c r="C30" s="1">
        <f>Pressupostos!$B$14/14*CA!C29</f>
        <v>10071.428571428572</v>
      </c>
      <c r="D30" s="1">
        <f>Pressupostos!$B$14/14*CA!D29</f>
        <v>13428.571428571429</v>
      </c>
      <c r="E30" s="1">
        <f>Pressupostos!$B$14/14*CA!E29</f>
        <v>13428.571428571429</v>
      </c>
      <c r="F30" s="1">
        <f>SUM(B30:E30)</f>
        <v>47000</v>
      </c>
    </row>
    <row r="31" spans="1:6" x14ac:dyDescent="0.2">
      <c r="A31" s="199" t="s">
        <v>180</v>
      </c>
      <c r="B31" s="1">
        <f>Pressupostos!$B$16/4</f>
        <v>16250</v>
      </c>
      <c r="C31" s="1">
        <f>Pressupostos!$B$16/4</f>
        <v>16250</v>
      </c>
      <c r="D31" s="1">
        <f>Pressupostos!$B$16/4</f>
        <v>16250</v>
      </c>
      <c r="E31" s="1">
        <f>Pressupostos!$B$16/4</f>
        <v>16250</v>
      </c>
      <c r="F31" s="1">
        <f>SUM(B31:E31)</f>
        <v>65000</v>
      </c>
    </row>
    <row r="32" spans="1:6" x14ac:dyDescent="0.2">
      <c r="B32" s="1">
        <f>CA!B30+B31</f>
        <v>26321.428571428572</v>
      </c>
      <c r="C32" s="1">
        <f>CA!C30+C31</f>
        <v>26321.428571428572</v>
      </c>
      <c r="D32" s="1">
        <f>CA!D30+D31</f>
        <v>29678.571428571428</v>
      </c>
      <c r="E32" s="1">
        <f>CA!E30+E31</f>
        <v>29678.571428571428</v>
      </c>
      <c r="F32" s="1">
        <f>SUM(B32:E32)</f>
        <v>112000</v>
      </c>
    </row>
    <row r="34" spans="1:6" x14ac:dyDescent="0.2">
      <c r="A34" t="s">
        <v>18</v>
      </c>
    </row>
    <row r="35" spans="1:6" x14ac:dyDescent="0.2">
      <c r="A35" t="s">
        <v>41</v>
      </c>
      <c r="B35" s="11">
        <f>B18</f>
        <v>0.15</v>
      </c>
      <c r="C35" s="11">
        <f>C18</f>
        <v>0.3</v>
      </c>
      <c r="D35" s="11">
        <f>D18</f>
        <v>0.3</v>
      </c>
      <c r="E35" s="11">
        <f>E18</f>
        <v>0.25</v>
      </c>
      <c r="F35" s="11">
        <f>SUM(B35:E35)</f>
        <v>1</v>
      </c>
    </row>
    <row r="36" spans="1:6" x14ac:dyDescent="0.2">
      <c r="A36" t="s">
        <v>42</v>
      </c>
      <c r="B36" s="1">
        <f>B35*Pressupostos!$B$7</f>
        <v>150000</v>
      </c>
      <c r="C36" s="1">
        <f>C35*Pressupostos!$B$7</f>
        <v>300000</v>
      </c>
      <c r="D36" s="1">
        <f>D35*Pressupostos!$B$7</f>
        <v>300000</v>
      </c>
      <c r="E36" s="1">
        <f>E35*Pressupostos!$B$7</f>
        <v>250000</v>
      </c>
      <c r="F36" s="1">
        <f>SUM(B36:E36)</f>
        <v>1000000</v>
      </c>
    </row>
    <row r="37" spans="1:6" x14ac:dyDescent="0.2">
      <c r="A37" t="s">
        <v>40</v>
      </c>
      <c r="B37" s="1">
        <f>Balanço!D15+B36/3*(3-Pressupostos!$B$12)</f>
        <v>300000</v>
      </c>
      <c r="C37" s="1">
        <f>B36/3*Pressupostos!$B$12+C36/3*(3-Pressupostos!$B$12)</f>
        <v>200000</v>
      </c>
      <c r="D37" s="1">
        <f>C36/3*Pressupostos!$B$12+D36/3*(3-Pressupostos!$B$12)</f>
        <v>300000</v>
      </c>
      <c r="E37" s="1">
        <f>D36/3*Pressupostos!$B$12+E36/3*(3-Pressupostos!$B$12)</f>
        <v>283333.33333333331</v>
      </c>
      <c r="F37" s="1">
        <f>SUM(B37:E37)</f>
        <v>1083333.3333333333</v>
      </c>
    </row>
    <row r="38" spans="1:6" x14ac:dyDescent="0.2">
      <c r="B38" s="1"/>
      <c r="F38">
        <f>E36/3*Pressupostos!$B$12</f>
        <v>166666.66666666666</v>
      </c>
    </row>
    <row r="39" spans="1:6" x14ac:dyDescent="0.2">
      <c r="B39" s="1"/>
      <c r="F39" s="1"/>
    </row>
  </sheetData>
  <phoneticPr fontId="6" type="noConversion"/>
  <pageMargins left="0.75" right="0.75" top="1" bottom="1" header="0" footer="0"/>
  <pageSetup paperSize="9" scale="90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B30"/>
  <sheetViews>
    <sheetView tabSelected="1" zoomScaleNormal="100" workbookViewId="0">
      <selection activeCell="B3" sqref="B3"/>
    </sheetView>
  </sheetViews>
  <sheetFormatPr defaultRowHeight="12.75" x14ac:dyDescent="0.2"/>
  <cols>
    <col min="1" max="1" width="62.42578125" bestFit="1" customWidth="1"/>
    <col min="2" max="3" width="11.28515625" bestFit="1" customWidth="1"/>
    <col min="4" max="4" width="11.42578125" bestFit="1" customWidth="1"/>
    <col min="5" max="5" width="14.85546875" bestFit="1" customWidth="1"/>
    <col min="7" max="7" width="11.28515625" bestFit="1" customWidth="1"/>
  </cols>
  <sheetData>
    <row r="1" spans="1:2" x14ac:dyDescent="0.2">
      <c r="A1" s="199" t="s">
        <v>182</v>
      </c>
      <c r="B1">
        <v>2013</v>
      </c>
    </row>
    <row r="2" spans="1:2" x14ac:dyDescent="0.2">
      <c r="A2" s="199" t="s">
        <v>183</v>
      </c>
      <c r="B2">
        <v>2014</v>
      </c>
    </row>
    <row r="4" spans="1:2" x14ac:dyDescent="0.2">
      <c r="A4" t="s">
        <v>31</v>
      </c>
      <c r="B4" s="10">
        <v>0</v>
      </c>
    </row>
    <row r="5" spans="1:2" x14ac:dyDescent="0.2">
      <c r="A5" t="s">
        <v>77</v>
      </c>
      <c r="B5" s="10">
        <v>7500</v>
      </c>
    </row>
    <row r="6" spans="1:2" x14ac:dyDescent="0.2">
      <c r="A6" t="s">
        <v>78</v>
      </c>
      <c r="B6" s="10">
        <f>Balanço!D16-Pressupostos!B5</f>
        <v>0</v>
      </c>
    </row>
    <row r="7" spans="1:2" x14ac:dyDescent="0.2">
      <c r="A7" t="s">
        <v>18</v>
      </c>
      <c r="B7" s="10">
        <v>1000000</v>
      </c>
    </row>
    <row r="8" spans="1:2" x14ac:dyDescent="0.2">
      <c r="A8" t="s">
        <v>27</v>
      </c>
      <c r="B8" s="26">
        <v>0.75</v>
      </c>
    </row>
    <row r="9" spans="1:2" x14ac:dyDescent="0.2">
      <c r="A9" t="s">
        <v>82</v>
      </c>
      <c r="B9" s="10">
        <v>397500</v>
      </c>
    </row>
    <row r="10" spans="1:2" x14ac:dyDescent="0.2">
      <c r="A10" t="s">
        <v>83</v>
      </c>
      <c r="B10" s="26">
        <v>0.08</v>
      </c>
    </row>
    <row r="11" spans="1:2" x14ac:dyDescent="0.2">
      <c r="A11" s="9" t="s">
        <v>84</v>
      </c>
      <c r="B11" s="75">
        <v>3</v>
      </c>
    </row>
    <row r="12" spans="1:2" x14ac:dyDescent="0.2">
      <c r="A12" s="9" t="s">
        <v>85</v>
      </c>
      <c r="B12" s="75">
        <v>2</v>
      </c>
    </row>
    <row r="13" spans="1:2" x14ac:dyDescent="0.2">
      <c r="A13" s="9" t="s">
        <v>102</v>
      </c>
      <c r="B13" s="75">
        <v>2</v>
      </c>
    </row>
    <row r="14" spans="1:2" x14ac:dyDescent="0.2">
      <c r="A14" t="s">
        <v>44</v>
      </c>
      <c r="B14" s="10">
        <v>47000</v>
      </c>
    </row>
    <row r="15" spans="1:2" x14ac:dyDescent="0.2">
      <c r="A15" s="9" t="s">
        <v>19</v>
      </c>
      <c r="B15" s="10">
        <v>20000</v>
      </c>
    </row>
    <row r="16" spans="1:2" x14ac:dyDescent="0.2">
      <c r="A16" t="s">
        <v>25</v>
      </c>
      <c r="B16" s="10">
        <v>65000</v>
      </c>
    </row>
    <row r="17" spans="1:2" x14ac:dyDescent="0.2">
      <c r="A17" t="s">
        <v>76</v>
      </c>
      <c r="B17" s="1">
        <v>7500</v>
      </c>
    </row>
    <row r="18" spans="1:2" x14ac:dyDescent="0.2">
      <c r="A18" t="s">
        <v>105</v>
      </c>
      <c r="B18" s="11">
        <v>0.02</v>
      </c>
    </row>
    <row r="19" spans="1:2" x14ac:dyDescent="0.2">
      <c r="A19" t="s">
        <v>106</v>
      </c>
      <c r="B19" s="11">
        <v>0.1</v>
      </c>
    </row>
    <row r="20" spans="1:2" x14ac:dyDescent="0.2">
      <c r="A20" s="199" t="s">
        <v>179</v>
      </c>
      <c r="B20" s="12">
        <f>Pressupostos!B18/4</f>
        <v>5.0000000000000001E-3</v>
      </c>
    </row>
    <row r="21" spans="1:2" x14ac:dyDescent="0.2">
      <c r="A21" s="199" t="s">
        <v>178</v>
      </c>
      <c r="B21" s="12">
        <f>Pressupostos!B19/4</f>
        <v>2.5000000000000001E-2</v>
      </c>
    </row>
    <row r="22" spans="1:2" x14ac:dyDescent="0.2">
      <c r="B22" s="10"/>
    </row>
    <row r="23" spans="1:2" x14ac:dyDescent="0.2">
      <c r="B23" s="10"/>
    </row>
    <row r="24" spans="1:2" x14ac:dyDescent="0.2">
      <c r="B24" s="10"/>
    </row>
    <row r="25" spans="1:2" x14ac:dyDescent="0.2">
      <c r="B25" s="10"/>
    </row>
    <row r="26" spans="1:2" x14ac:dyDescent="0.2">
      <c r="B26" s="10"/>
    </row>
    <row r="27" spans="1:2" x14ac:dyDescent="0.2">
      <c r="B27" s="10"/>
    </row>
    <row r="28" spans="1:2" x14ac:dyDescent="0.2">
      <c r="B28" s="10"/>
    </row>
    <row r="29" spans="1:2" x14ac:dyDescent="0.2">
      <c r="B29" s="10"/>
    </row>
    <row r="30" spans="1:2" x14ac:dyDescent="0.2">
      <c r="B30" s="10"/>
    </row>
  </sheetData>
  <phoneticPr fontId="6" type="noConversion"/>
  <pageMargins left="0.75" right="0.75" top="1" bottom="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Balanço</vt:lpstr>
      <vt:lpstr>DR por natureza</vt:lpstr>
      <vt:lpstr>BF e TL</vt:lpstr>
      <vt:lpstr>Orçamento de Tesouraria</vt:lpstr>
      <vt:lpstr>Plano Financeiro CP</vt:lpstr>
      <vt:lpstr>CA</vt:lpstr>
      <vt:lpstr>Pressupostos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Rino Vieira</dc:creator>
  <cp:lastModifiedBy>Alcino Tiago Goncalves</cp:lastModifiedBy>
  <cp:lastPrinted>2011-05-26T17:01:19Z</cp:lastPrinted>
  <dcterms:created xsi:type="dcterms:W3CDTF">2005-05-14T20:44:59Z</dcterms:created>
  <dcterms:modified xsi:type="dcterms:W3CDTF">2016-09-13T17:18:13Z</dcterms:modified>
</cp:coreProperties>
</file>