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ano\Desktop\"/>
    </mc:Choice>
  </mc:AlternateContent>
  <bookViews>
    <workbookView xWindow="0" yWindow="0" windowWidth="20490" windowHeight="7620"/>
  </bookViews>
  <sheets>
    <sheet name="2015" sheetId="1" r:id="rId1"/>
    <sheet name="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D131" i="1"/>
  <c r="E124" i="1"/>
  <c r="D72" i="1"/>
  <c r="G139" i="1"/>
  <c r="I139" i="1"/>
  <c r="H139" i="1"/>
  <c r="F139" i="1"/>
  <c r="E139" i="1"/>
  <c r="D138" i="1"/>
  <c r="D139" i="1" s="1"/>
  <c r="D140" i="1" s="1"/>
  <c r="C28" i="1"/>
  <c r="J139" i="1" l="1"/>
  <c r="D142" i="1" s="1"/>
  <c r="E140" i="1"/>
  <c r="F140" i="1" s="1"/>
  <c r="G140" i="1" s="1"/>
  <c r="H140" i="1" s="1"/>
  <c r="I140" i="1" s="1"/>
  <c r="I124" i="1"/>
  <c r="H124" i="1"/>
  <c r="G124" i="1"/>
  <c r="F124" i="1"/>
  <c r="I107" i="1"/>
  <c r="H107" i="1"/>
  <c r="G107" i="1"/>
  <c r="F107" i="1"/>
  <c r="E107" i="1"/>
  <c r="D107" i="1"/>
  <c r="D108" i="1" s="1"/>
  <c r="E104" i="1"/>
  <c r="E105" i="1" s="1"/>
  <c r="F104" i="1"/>
  <c r="F105" i="1" s="1"/>
  <c r="G104" i="1"/>
  <c r="G105" i="1" s="1"/>
  <c r="H104" i="1"/>
  <c r="H105" i="1" s="1"/>
  <c r="I104" i="1"/>
  <c r="I105" i="1" s="1"/>
  <c r="I106" i="1" l="1"/>
  <c r="I46" i="2"/>
  <c r="H45" i="2"/>
  <c r="G44" i="2"/>
  <c r="F43" i="2"/>
  <c r="E42" i="2"/>
  <c r="D41" i="2"/>
  <c r="J25" i="2"/>
  <c r="C28" i="2" s="1"/>
  <c r="H9" i="2"/>
  <c r="H10" i="2" s="1"/>
  <c r="G9" i="2"/>
  <c r="G10" i="2" s="1"/>
  <c r="F9" i="2"/>
  <c r="F10" i="2" s="1"/>
  <c r="E9" i="2"/>
  <c r="E10" i="2" s="1"/>
  <c r="I9" i="2"/>
  <c r="I10" i="2" s="1"/>
  <c r="C55" i="1"/>
  <c r="C54" i="1"/>
  <c r="C33" i="1"/>
  <c r="C32" i="1"/>
  <c r="I12" i="2" l="1"/>
  <c r="C14" i="2" s="1"/>
  <c r="D110" i="1"/>
  <c r="D111" i="1"/>
  <c r="D112" i="1" s="1"/>
  <c r="D113" i="1" s="1"/>
  <c r="E69" i="1"/>
  <c r="F69" i="1" s="1"/>
  <c r="G69" i="1" s="1"/>
  <c r="H69" i="1" s="1"/>
  <c r="I69" i="1" s="1"/>
  <c r="C57" i="1"/>
  <c r="I48" i="1"/>
  <c r="I49" i="1" s="1"/>
  <c r="H48" i="1"/>
  <c r="H49" i="1" s="1"/>
  <c r="G48" i="1"/>
  <c r="G49" i="1" s="1"/>
  <c r="F48" i="1"/>
  <c r="F49" i="1" s="1"/>
  <c r="E48" i="1"/>
  <c r="E49" i="1" s="1"/>
  <c r="E50" i="1" s="1"/>
  <c r="F50" i="1" s="1"/>
  <c r="G50" i="1" s="1"/>
  <c r="D48" i="1"/>
  <c r="D49" i="1" s="1"/>
  <c r="C34" i="1"/>
  <c r="I25" i="1"/>
  <c r="I26" i="1" s="1"/>
  <c r="H25" i="1"/>
  <c r="H26" i="1" s="1"/>
  <c r="G25" i="1"/>
  <c r="G26" i="1" s="1"/>
  <c r="F25" i="1"/>
  <c r="F26" i="1" s="1"/>
  <c r="E25" i="1"/>
  <c r="E26" i="1" s="1"/>
  <c r="D25" i="1"/>
  <c r="D26" i="1" s="1"/>
  <c r="D27" i="1" l="1"/>
  <c r="E27" i="1" s="1"/>
  <c r="F27" i="1" s="1"/>
  <c r="E126" i="1"/>
  <c r="E131" i="1" s="1"/>
  <c r="F127" i="1"/>
  <c r="F131" i="1" s="1"/>
  <c r="G128" i="1"/>
  <c r="G131" i="1" s="1"/>
  <c r="H129" i="1"/>
  <c r="H131" i="1" s="1"/>
  <c r="G27" i="1"/>
  <c r="H27" i="1" s="1"/>
  <c r="D89" i="1" s="1"/>
  <c r="H50" i="1"/>
  <c r="I50" i="1" s="1"/>
  <c r="I27" i="1" l="1"/>
</calcChain>
</file>

<file path=xl/comments1.xml><?xml version="1.0" encoding="utf-8"?>
<comments xmlns="http://schemas.openxmlformats.org/spreadsheetml/2006/main">
  <authors>
    <author>Elsa Maria Fontainha</author>
  </authors>
  <commentList>
    <comment ref="E56" authorId="0" shapeId="0">
      <text>
        <r>
          <rPr>
            <b/>
            <sz val="9"/>
            <color indexed="81"/>
            <rFont val="Tahoma"/>
            <charset val="1"/>
          </rPr>
          <t>Elsa Maria Fontainha:</t>
        </r>
        <r>
          <rPr>
            <sz val="9"/>
            <color indexed="81"/>
            <rFont val="Tahoma"/>
            <charset val="1"/>
          </rPr>
          <t xml:space="preserve">
In next Chapter The sensitivity, scenario and other techniques will be studied. The excel as tools to produce scenarios. Note used in this exercise.</t>
        </r>
      </text>
    </comment>
  </commentList>
</comments>
</file>

<file path=xl/sharedStrings.xml><?xml version="1.0" encoding="utf-8"?>
<sst xmlns="http://schemas.openxmlformats.org/spreadsheetml/2006/main" count="122" uniqueCount="103">
  <si>
    <t>AFTER COMPUTING THE CASH FLOW WE HAVE TO  EVALUATE THE PROJECT(S)</t>
  </si>
  <si>
    <t>Advantages and disadvantages of each methodology</t>
  </si>
  <si>
    <t>Methodology? (e.g. NPV and IRR)</t>
  </si>
  <si>
    <t>General criteria to select a methodology:</t>
  </si>
  <si>
    <t>ALL the cash-flows must be included  (e.g. Payback period DOES NOT include in general ALL the cash flows)</t>
  </si>
  <si>
    <t>The time value of the money must be considered (e.g. the values must be discounted)</t>
  </si>
  <si>
    <t xml:space="preserve">NET PRESENT VALUE </t>
  </si>
  <si>
    <t>Sum of the discounted global cash flow for each year</t>
  </si>
  <si>
    <t>Assumption: all the cashflows are reinvested at the rate k (it means WACC)</t>
  </si>
  <si>
    <t>criteria?</t>
  </si>
  <si>
    <t>NPV&gt;0</t>
  </si>
  <si>
    <t>accepted</t>
  </si>
  <si>
    <t>NPV&lt;0</t>
  </si>
  <si>
    <t>rejected</t>
  </si>
  <si>
    <t>NPV=0</t>
  </si>
  <si>
    <t>neutal</t>
  </si>
  <si>
    <t>Examples which show the relation between the NPV and the discount rate and the way two projects can be compared</t>
  </si>
  <si>
    <t>PROJECT A</t>
  </si>
  <si>
    <t>GCF</t>
  </si>
  <si>
    <t>WACC=0,08</t>
  </si>
  <si>
    <t>discntcoeff</t>
  </si>
  <si>
    <t>GCFpvACCUMULATED</t>
  </si>
  <si>
    <t>GCF presvalue (GCFpv)</t>
  </si>
  <si>
    <t>NPV=117,927</t>
  </si>
  <si>
    <t>using the excel formula:</t>
  </si>
  <si>
    <t xml:space="preserve">How is NPV affected by the changes in discount rate? </t>
  </si>
  <si>
    <t>discount</t>
  </si>
  <si>
    <t>NPV</t>
  </si>
  <si>
    <t>discount rate</t>
  </si>
  <si>
    <t>=IRR'</t>
  </si>
  <si>
    <t>PROJECT B</t>
  </si>
  <si>
    <t>NPV=118,19</t>
  </si>
  <si>
    <t>NPV Proj A</t>
  </si>
  <si>
    <t>NPV Proj B</t>
  </si>
  <si>
    <t>IRR (project B)</t>
  </si>
  <si>
    <t>Calculation of Payback period of Project A (discounted and not discounted)</t>
  </si>
  <si>
    <t>NOT DISCOUNTED</t>
  </si>
  <si>
    <t>GCF accumulated (NOT disct)</t>
  </si>
  <si>
    <t>by formula</t>
  </si>
  <si>
    <t>Modified Internal Rate of Return</t>
  </si>
  <si>
    <t xml:space="preserve">Project A </t>
  </si>
  <si>
    <t>Disc rate=</t>
  </si>
  <si>
    <t>Reeinv.rate</t>
  </si>
  <si>
    <t>Coeff of capititalization</t>
  </si>
  <si>
    <t>GCF capitalized (invested)</t>
  </si>
  <si>
    <t>Cash Flow yr 0(Cost of Inv yr0)</t>
  </si>
  <si>
    <t>GCF Capitalized acc</t>
  </si>
  <si>
    <t>Modified IRR</t>
  </si>
  <si>
    <t>Profitability (or rentability index)</t>
  </si>
  <si>
    <t xml:space="preserve">NOTE: it can not be computed because the value for OCF (operational Cash Flow must be known </t>
  </si>
  <si>
    <t xml:space="preserve">If we assume </t>
  </si>
  <si>
    <t>Cost of Investment</t>
  </si>
  <si>
    <t>Operational Cash Flow</t>
  </si>
  <si>
    <t>we are able to compute the RI for project A</t>
  </si>
  <si>
    <t>RI=</t>
  </si>
  <si>
    <t>Operational Cash Flow (discounted)</t>
  </si>
  <si>
    <t>Operational Cash Flow Accumulated (disc)</t>
  </si>
  <si>
    <t>The next methodology is used to the study of the best duration for the project:</t>
  </si>
  <si>
    <t>It is not a method to select a project. Why?</t>
  </si>
  <si>
    <t xml:space="preserve">Additional information is necessary for project A. The value of the project when it closes in yr1, or yr 2, etc etc </t>
  </si>
  <si>
    <t>Residual Value for each yr (estimated; given)</t>
  </si>
  <si>
    <t>NPV0 (if it closes 0)</t>
  </si>
  <si>
    <t>NPV1 (if it closes in 1)</t>
  </si>
  <si>
    <t>NPV2 (if it closes yr2)</t>
  </si>
  <si>
    <t>NPV3 (if it closes yr3)</t>
  </si>
  <si>
    <t>NPV4</t>
  </si>
  <si>
    <t>NPV5</t>
  </si>
  <si>
    <t xml:space="preserve">Figure Profile of NPV of The Project A ssuming different durations </t>
  </si>
  <si>
    <t xml:space="preserve">NPV profile (diff dur) </t>
  </si>
  <si>
    <t>In this case (under the assumption we made) the duration of 3 years is the best. In some cases we are not able to comput the maximum.</t>
  </si>
  <si>
    <t xml:space="preserve">DISCOUNTED Paybackperiod (Project A) </t>
  </si>
  <si>
    <t>Modified Internal Rate of Return (MIRR) see page 180-181 Crunwell</t>
  </si>
  <si>
    <t>reinvestment rate 9%</t>
  </si>
  <si>
    <t xml:space="preserve">note, the IRR=11.74% and the oportunity cost of capital =8% </t>
  </si>
  <si>
    <t>MODIFIED IRR</t>
  </si>
  <si>
    <t>Coeff Capitaliz. (Compound Factor)</t>
  </si>
  <si>
    <t>Investment (TOTAL)</t>
  </si>
  <si>
    <t>Op Cash Flow</t>
  </si>
  <si>
    <t>Op. Cash Flow (future value)</t>
  </si>
  <si>
    <t>Op. Cash Flow (future value)Accumulated</t>
  </si>
  <si>
    <t>Coeff. Discount</t>
  </si>
  <si>
    <t>Investment (TOTAL) Discounted</t>
  </si>
  <si>
    <t>ratio=</t>
  </si>
  <si>
    <t>ratio ^(1/5)</t>
  </si>
  <si>
    <t>ratio^(1/5) - 1</t>
  </si>
  <si>
    <t>MIRR project A=</t>
  </si>
  <si>
    <t>Accepted because MIRR 10.781% &gt;  k 8%</t>
  </si>
  <si>
    <t xml:space="preserve">NPV Profile Across Time </t>
  </si>
  <si>
    <t>Expected Residual Values for years 1 to 5. Assuming that the project closes after 1 year, or 2 years, or 3, years, etc.</t>
  </si>
  <si>
    <t>Year 0</t>
  </si>
  <si>
    <t>Residual Value</t>
  </si>
  <si>
    <t>Residual Value discounted</t>
  </si>
  <si>
    <t>NPV Profile Across Time year 0</t>
  </si>
  <si>
    <t>NPV Profile Across Time year 1</t>
  </si>
  <si>
    <t>NPV Profile Across Time year 2</t>
  </si>
  <si>
    <t>NPV Profile Across Time year 3</t>
  </si>
  <si>
    <t>NPV Profile Across Time year 4</t>
  </si>
  <si>
    <t>NPV Profile Across Time year 5</t>
  </si>
  <si>
    <t xml:space="preserve">Profitability Index </t>
  </si>
  <si>
    <t xml:space="preserve">PI= </t>
  </si>
  <si>
    <t xml:space="preserve">The project is accepted because PI &gt; 1. It means that per unit of invested capital there is generated a return that is higher. </t>
  </si>
  <si>
    <t xml:space="preserve">3 years and ? Months </t>
  </si>
  <si>
    <t xml:space="preserve">PBP discounted = 4 years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</si>
</sst>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.00_ ;[Red]\-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0" borderId="0" xfId="0" applyFont="1"/>
    <xf numFmtId="0" fontId="3" fillId="2" borderId="0" xfId="0" applyFont="1" applyFill="1"/>
    <xf numFmtId="9" fontId="0" fillId="0" borderId="0" xfId="0" applyNumberFormat="1"/>
    <xf numFmtId="0" fontId="0" fillId="3" borderId="0" xfId="0" applyFill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0" fontId="3" fillId="0" borderId="0" xfId="0" applyFont="1"/>
    <xf numFmtId="0" fontId="6" fillId="4" borderId="0" xfId="0" applyFont="1" applyFill="1"/>
    <xf numFmtId="8" fontId="6" fillId="4" borderId="0" xfId="0" applyNumberFormat="1" applyFont="1" applyFill="1"/>
    <xf numFmtId="9" fontId="6" fillId="4" borderId="0" xfId="0" applyNumberFormat="1" applyFont="1" applyFill="1"/>
    <xf numFmtId="0" fontId="6" fillId="4" borderId="0" xfId="0" quotePrefix="1" applyFont="1" applyFill="1"/>
    <xf numFmtId="8" fontId="7" fillId="4" borderId="0" xfId="0" applyNumberFormat="1" applyFont="1" applyFill="1"/>
    <xf numFmtId="0" fontId="5" fillId="0" borderId="0" xfId="0" applyFont="1"/>
    <xf numFmtId="0" fontId="8" fillId="0" borderId="0" xfId="0" applyFont="1"/>
    <xf numFmtId="10" fontId="0" fillId="2" borderId="0" xfId="0" applyNumberFormat="1" applyFill="1"/>
    <xf numFmtId="0" fontId="9" fillId="0" borderId="0" xfId="0" applyFont="1"/>
    <xf numFmtId="0" fontId="10" fillId="0" borderId="0" xfId="0" applyFont="1"/>
    <xf numFmtId="0" fontId="1" fillId="5" borderId="0" xfId="0" applyFont="1" applyFill="1"/>
    <xf numFmtId="0" fontId="11" fillId="0" borderId="0" xfId="0" applyFont="1"/>
    <xf numFmtId="0" fontId="0" fillId="6" borderId="0" xfId="0" applyFill="1"/>
    <xf numFmtId="0" fontId="0" fillId="7" borderId="0" xfId="0" applyFill="1"/>
    <xf numFmtId="9" fontId="5" fillId="2" borderId="0" xfId="0" applyNumberFormat="1" applyFont="1" applyFill="1"/>
    <xf numFmtId="0" fontId="8" fillId="5" borderId="0" xfId="0" applyFont="1" applyFill="1"/>
    <xf numFmtId="0" fontId="0" fillId="8" borderId="0" xfId="0" applyFill="1"/>
    <xf numFmtId="0" fontId="5" fillId="8" borderId="0" xfId="0" applyFont="1" applyFill="1"/>
    <xf numFmtId="164" fontId="0" fillId="0" borderId="0" xfId="0" applyNumberFormat="1"/>
    <xf numFmtId="164" fontId="3" fillId="0" borderId="0" xfId="0" applyNumberFormat="1" applyFont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NPV and discount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'2015'!$D$37:$D$42</c:f>
              <c:numCache>
                <c:formatCode>0%</c:formatCode>
                <c:ptCount val="6"/>
                <c:pt idx="0">
                  <c:v>0.05</c:v>
                </c:pt>
                <c:pt idx="1">
                  <c:v>0.06</c:v>
                </c:pt>
                <c:pt idx="2">
                  <c:v>0.08</c:v>
                </c:pt>
                <c:pt idx="3">
                  <c:v>0.1</c:v>
                </c:pt>
                <c:pt idx="4">
                  <c:v>0.14000000000000001</c:v>
                </c:pt>
                <c:pt idx="5">
                  <c:v>0.15</c:v>
                </c:pt>
              </c:numCache>
            </c:numRef>
          </c:xVal>
          <c:yVal>
            <c:numRef>
              <c:f>'2015'!$E$37:$E$42</c:f>
              <c:numCache>
                <c:formatCode>General</c:formatCode>
                <c:ptCount val="6"/>
                <c:pt idx="0">
                  <c:v>228.06</c:v>
                </c:pt>
                <c:pt idx="1">
                  <c:v>189.65</c:v>
                </c:pt>
                <c:pt idx="2">
                  <c:v>117.92687415145957</c:v>
                </c:pt>
                <c:pt idx="3">
                  <c:v>52.38</c:v>
                </c:pt>
                <c:pt idx="4">
                  <c:v>-62.72</c:v>
                </c:pt>
                <c:pt idx="5">
                  <c:v>-88.58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B7-4D92-BC84-9FE02ED4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362712"/>
        <c:axId val="278363104"/>
      </c:scatterChart>
      <c:valAx>
        <c:axId val="27836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3104"/>
        <c:crosses val="autoZero"/>
        <c:crossBetween val="midCat"/>
      </c:valAx>
      <c:valAx>
        <c:axId val="2783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2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Projects A and B </a:t>
            </a:r>
          </a:p>
          <a:p>
            <a:pPr>
              <a:defRPr/>
            </a:pPr>
            <a:r>
              <a:rPr lang="pt-PT"/>
              <a:t>NPV and discount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'2015'!$E$57:$E$63</c:f>
              <c:numCache>
                <c:formatCode>General</c:formatCode>
                <c:ptCount val="7"/>
                <c:pt idx="0">
                  <c:v>0.02</c:v>
                </c:pt>
                <c:pt idx="1">
                  <c:v>0.05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0.14000000000000001</c:v>
                </c:pt>
                <c:pt idx="6">
                  <c:v>0.15</c:v>
                </c:pt>
              </c:numCache>
            </c:numRef>
          </c:xVal>
          <c:yVal>
            <c:numRef>
              <c:f>'2015'!$F$57:$F$63</c:f>
              <c:numCache>
                <c:formatCode>0.00</c:formatCode>
                <c:ptCount val="7"/>
                <c:pt idx="0" formatCode="General">
                  <c:v>354.76</c:v>
                </c:pt>
                <c:pt idx="1">
                  <c:v>228.06</c:v>
                </c:pt>
                <c:pt idx="2">
                  <c:v>189.65</c:v>
                </c:pt>
                <c:pt idx="3">
                  <c:v>117.92687415145957</c:v>
                </c:pt>
                <c:pt idx="4">
                  <c:v>52.38</c:v>
                </c:pt>
                <c:pt idx="5">
                  <c:v>-62.72</c:v>
                </c:pt>
                <c:pt idx="6">
                  <c:v>-88.58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0D-4BA1-821D-1E726FEC72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'2015'!$E$57:$E$63</c:f>
              <c:numCache>
                <c:formatCode>General</c:formatCode>
                <c:ptCount val="7"/>
                <c:pt idx="0">
                  <c:v>0.02</c:v>
                </c:pt>
                <c:pt idx="1">
                  <c:v>0.05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0.14000000000000001</c:v>
                </c:pt>
                <c:pt idx="6">
                  <c:v>0.15</c:v>
                </c:pt>
              </c:numCache>
            </c:numRef>
          </c:xVal>
          <c:yVal>
            <c:numRef>
              <c:f>'2015'!$G$57:$G$63</c:f>
              <c:numCache>
                <c:formatCode>General</c:formatCode>
                <c:ptCount val="7"/>
                <c:pt idx="0">
                  <c:v>314.20999999999998</c:v>
                </c:pt>
                <c:pt idx="1">
                  <c:v>209.85</c:v>
                </c:pt>
                <c:pt idx="2">
                  <c:v>177.99</c:v>
                </c:pt>
                <c:pt idx="3" formatCode="0.00">
                  <c:v>118.19022173605271</c:v>
                </c:pt>
                <c:pt idx="4">
                  <c:v>63.16</c:v>
                </c:pt>
                <c:pt idx="5">
                  <c:v>-34.47</c:v>
                </c:pt>
                <c:pt idx="6">
                  <c:v>-56.59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0D-4BA1-821D-1E726FEC7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363888"/>
        <c:axId val="278364280"/>
      </c:scatterChart>
      <c:valAx>
        <c:axId val="27836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4280"/>
        <c:crosses val="autoZero"/>
        <c:crossBetween val="midCat"/>
      </c:valAx>
      <c:valAx>
        <c:axId val="27836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'2015'!$D$45:$I$45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'2015'!$E$73:$E$78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8-4C60-A544-4056F725DFA7}"/>
            </c:ext>
          </c:extLst>
        </c:ser>
        <c:ser>
          <c:idx val="1"/>
          <c:order val="1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'2015'!$D$45:$I$45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'2015'!$F$73:$F$78</c:f>
              <c:numCache>
                <c:formatCode>General</c:formatCode>
                <c:ptCount val="6"/>
                <c:pt idx="0">
                  <c:v>-1000</c:v>
                </c:pt>
                <c:pt idx="1">
                  <c:v>-850</c:v>
                </c:pt>
                <c:pt idx="2">
                  <c:v>-600</c:v>
                </c:pt>
                <c:pt idx="3">
                  <c:v>-350</c:v>
                </c:pt>
                <c:pt idx="4">
                  <c:v>50</c:v>
                </c:pt>
                <c:pt idx="5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8-4C60-A544-4056F725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66632"/>
        <c:axId val="278367024"/>
      </c:barChart>
      <c:catAx>
        <c:axId val="27836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7024"/>
        <c:crosses val="autoZero"/>
        <c:auto val="1"/>
        <c:lblAlgn val="ctr"/>
        <c:lblOffset val="100"/>
        <c:noMultiLvlLbl val="0"/>
      </c:catAx>
      <c:valAx>
        <c:axId val="27836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Payback Period (discounted)</a:t>
            </a:r>
          </a:p>
          <a:p>
            <a:pPr>
              <a:defRPr/>
            </a:pPr>
            <a:r>
              <a:rPr lang="pt-PT"/>
              <a:t>of Project A</a:t>
            </a:r>
          </a:p>
        </c:rich>
      </c:tx>
      <c:layout>
        <c:manualLayout>
          <c:xMode val="edge"/>
          <c:yMode val="edge"/>
          <c:x val="0.4094930008748907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1345603674540683"/>
          <c:y val="0.19721055701370663"/>
          <c:w val="0.86354396325459315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'2015'!$E$83:$E$88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'2015'!$E$83:$E$88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1D2-9CC4-B3A06CDA7C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'2015'!$E$83:$E$88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'2015'!$F$83:$F$88</c:f>
              <c:numCache>
                <c:formatCode>0.00</c:formatCode>
                <c:ptCount val="6"/>
                <c:pt idx="0">
                  <c:v>-1000</c:v>
                </c:pt>
                <c:pt idx="1">
                  <c:v>-861.11111111111109</c:v>
                </c:pt>
                <c:pt idx="2">
                  <c:v>-646.77640603566533</c:v>
                </c:pt>
                <c:pt idx="3">
                  <c:v>-448.31834578062296</c:v>
                </c:pt>
                <c:pt idx="4">
                  <c:v>-154.30640466204164</c:v>
                </c:pt>
                <c:pt idx="5">
                  <c:v>117.92687415145957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1D2-9CC4-B3A06CDA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67808"/>
        <c:axId val="278368200"/>
      </c:barChart>
      <c:catAx>
        <c:axId val="2783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8200"/>
        <c:crosses val="autoZero"/>
        <c:auto val="1"/>
        <c:lblAlgn val="ctr"/>
        <c:lblOffset val="100"/>
        <c:noMultiLvlLbl val="0"/>
      </c:catAx>
      <c:valAx>
        <c:axId val="27836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NPV profile across time </a:t>
            </a:r>
          </a:p>
        </c:rich>
      </c:tx>
      <c:layout>
        <c:manualLayout>
          <c:xMode val="edge"/>
          <c:yMode val="edge"/>
          <c:x val="0.4094930008748907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1414964815736213"/>
          <c:y val="0.17171296296296298"/>
          <c:w val="0.86270974176200577"/>
          <c:h val="0.7773611111111110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'2015'!$D$132:$I$132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'2015'!$D$133:$I$133</c:f>
              <c:numCache>
                <c:formatCode>General</c:formatCode>
                <c:ptCount val="6"/>
                <c:pt idx="0">
                  <c:v>-1000</c:v>
                </c:pt>
                <c:pt idx="1">
                  <c:v>-27.777777777777857</c:v>
                </c:pt>
                <c:pt idx="2">
                  <c:v>107.68175582990389</c:v>
                </c:pt>
                <c:pt idx="3">
                  <c:v>226.43905908652124</c:v>
                </c:pt>
                <c:pt idx="4">
                  <c:v>139.7055364565397</c:v>
                </c:pt>
                <c:pt idx="5">
                  <c:v>117.92687415145957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1-4863-A7D8-E2A255B11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369376"/>
        <c:axId val="278369768"/>
      </c:areaChart>
      <c:catAx>
        <c:axId val="2783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9768"/>
        <c:crosses val="autoZero"/>
        <c:auto val="1"/>
        <c:lblAlgn val="ctr"/>
        <c:lblOffset val="100"/>
        <c:noMultiLvlLbl val="0"/>
      </c:catAx>
      <c:valAx>
        <c:axId val="27836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NPV Profile</a:t>
            </a:r>
            <a:r>
              <a:rPr lang="pt-PT" baseline="0"/>
              <a:t> according different durations 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'01'!$D$47:$I$47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'01'!$D$48:$I$48</c:f>
              <c:numCache>
                <c:formatCode>General</c:formatCode>
                <c:ptCount val="6"/>
                <c:pt idx="0">
                  <c:v>-1000</c:v>
                </c:pt>
                <c:pt idx="1">
                  <c:v>-27.777777777777828</c:v>
                </c:pt>
                <c:pt idx="2">
                  <c:v>107.68175582990386</c:v>
                </c:pt>
                <c:pt idx="3">
                  <c:v>226.43905908652118</c:v>
                </c:pt>
                <c:pt idx="4">
                  <c:v>139.70553645653968</c:v>
                </c:pt>
                <c:pt idx="5">
                  <c:v>117.92687415145957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0-436E-8F06-013DDDFF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366240"/>
        <c:axId val="278365848"/>
      </c:areaChart>
      <c:catAx>
        <c:axId val="2783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5848"/>
        <c:crosses val="autoZero"/>
        <c:auto val="1"/>
        <c:lblAlgn val="ctr"/>
        <c:lblOffset val="100"/>
        <c:noMultiLvlLbl val="0"/>
      </c:catAx>
      <c:valAx>
        <c:axId val="27836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836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310242</xdr:colOff>
      <xdr:row>28</xdr:row>
      <xdr:rowOff>87086</xdr:rowOff>
    </xdr:from>
    <xdr:to>
      <xdr:col>12</xdr:col>
      <xdr:colOff>489857</xdr:colOff>
      <xdr:row>41</xdr:row>
      <xdr:rowOff>48986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232834</xdr:colOff>
      <xdr:row>43</xdr:row>
      <xdr:rowOff>13607</xdr:rowOff>
    </xdr:from>
    <xdr:to>
      <xdr:col>17</xdr:col>
      <xdr:colOff>401561</xdr:colOff>
      <xdr:row>66</xdr:row>
      <xdr:rowOff>40821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23131</xdr:colOff>
      <xdr:row>64</xdr:row>
      <xdr:rowOff>175532</xdr:rowOff>
    </xdr:from>
    <xdr:to>
      <xdr:col>17</xdr:col>
      <xdr:colOff>303438</xdr:colOff>
      <xdr:row>79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12246</xdr:colOff>
      <xdr:row>80</xdr:row>
      <xdr:rowOff>47625</xdr:rowOff>
    </xdr:from>
    <xdr:to>
      <xdr:col>17</xdr:col>
      <xdr:colOff>228600</xdr:colOff>
      <xdr:row>95</xdr:row>
      <xdr:rowOff>14968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261938</xdr:colOff>
      <xdr:row>116</xdr:row>
      <xdr:rowOff>176614</xdr:rowOff>
    </xdr:from>
    <xdr:to>
      <xdr:col>18</xdr:col>
      <xdr:colOff>583407</xdr:colOff>
      <xdr:row>131</xdr:row>
      <xdr:rowOff>62314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412750</xdr:colOff>
      <xdr:row>53</xdr:row>
      <xdr:rowOff>21167</xdr:rowOff>
    </xdr:from>
    <xdr:ext cx="436081" cy="264560"/>
    <xdr:sp macro="" textlink="">
      <xdr:nvSpPr>
        <xdr:cNvPr id="8" name="TextBox 7"/>
        <xdr:cNvSpPr txBox="1"/>
      </xdr:nvSpPr>
      <xdr:spPr>
        <a:xfrm>
          <a:off x="7493000" y="10117667"/>
          <a:ext cx="436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PT" sz="1100" b="1"/>
            <a:t>NPV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0.47089</cdr:x>
      <cdr:y>0.77469</cdr:y>
    </cdr:from>
    <cdr:to>
      <cdr:x>0.86469</cdr:x>
      <cdr:y>0.85871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1833" y="3415393"/>
          <a:ext cx="2000250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1100"/>
            <a:t>DISCOUNT RATE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0.63069</cdr:x>
      <cdr:y>0.05135</cdr:y>
    </cdr:from>
    <cdr:to>
      <cdr:x>0.75699</cdr:x>
      <cdr:y>0.20543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2865979" y="140877"/>
          <a:ext cx="573935" cy="4226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1219199</xdr:colOff>
      <xdr:row>51</xdr:row>
      <xdr:rowOff>130629</xdr:rowOff>
    </xdr:from>
    <xdr:to>
      <xdr:col>8</xdr:col>
      <xdr:colOff>76199</xdr:colOff>
      <xdr:row>66</xdr:row>
      <xdr:rowOff>97972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J143"/>
  <sheetViews>
    <sheetView tabSelected="1" topLeftCell="A60" zoomScale="90" zoomScaleNormal="90" workbookViewId="0">
      <selection activeCell="N104" sqref="N104"/>
    </sheetView>
  </sheetViews>
  <sheetFormatPr defaultRowHeight="15" x14ac:dyDescent="0.25"/>
  <cols>
    <col min="3" max="3" width="37" customWidth="1"/>
    <col min="6" max="6" width="12.140625" customWidth="1"/>
    <col min="7" max="7" width="11" customWidth="1"/>
  </cols>
  <sheetData>
    <row r="3" spans="3:3" x14ac:dyDescent="0.25">
      <c r="C3" t="s">
        <v>0</v>
      </c>
    </row>
    <row r="5" spans="3:3" x14ac:dyDescent="0.25">
      <c r="C5" t="s">
        <v>2</v>
      </c>
    </row>
    <row r="6" spans="3:3" x14ac:dyDescent="0.25">
      <c r="C6" t="s">
        <v>1</v>
      </c>
    </row>
    <row r="8" spans="3:3" x14ac:dyDescent="0.25">
      <c r="C8" t="s">
        <v>3</v>
      </c>
    </row>
    <row r="9" spans="3:3" x14ac:dyDescent="0.25">
      <c r="C9" t="s">
        <v>4</v>
      </c>
    </row>
    <row r="10" spans="3:3" x14ac:dyDescent="0.25">
      <c r="C10" t="s">
        <v>5</v>
      </c>
    </row>
    <row r="12" spans="3:3" x14ac:dyDescent="0.25">
      <c r="C12" t="s">
        <v>6</v>
      </c>
    </row>
    <row r="14" spans="3:3" x14ac:dyDescent="0.25">
      <c r="C14" t="s">
        <v>7</v>
      </c>
    </row>
    <row r="15" spans="3:3" x14ac:dyDescent="0.25">
      <c r="C15" t="s">
        <v>8</v>
      </c>
    </row>
    <row r="17" spans="3:9" x14ac:dyDescent="0.25">
      <c r="C17" t="s">
        <v>9</v>
      </c>
      <c r="D17" t="s">
        <v>10</v>
      </c>
      <c r="E17" t="s">
        <v>11</v>
      </c>
    </row>
    <row r="18" spans="3:9" x14ac:dyDescent="0.25">
      <c r="D18" t="s">
        <v>12</v>
      </c>
      <c r="E18" t="s">
        <v>13</v>
      </c>
    </row>
    <row r="19" spans="3:9" x14ac:dyDescent="0.25">
      <c r="D19" t="s">
        <v>14</v>
      </c>
      <c r="E19" t="s">
        <v>15</v>
      </c>
    </row>
    <row r="21" spans="3:9" x14ac:dyDescent="0.25">
      <c r="C21" t="s">
        <v>16</v>
      </c>
    </row>
    <row r="22" spans="3:9" x14ac:dyDescent="0.25">
      <c r="C22" s="2" t="s">
        <v>19</v>
      </c>
      <c r="D22">
        <v>0</v>
      </c>
      <c r="E22">
        <v>1</v>
      </c>
      <c r="F22">
        <v>2</v>
      </c>
      <c r="G22">
        <v>3</v>
      </c>
      <c r="H22">
        <v>4</v>
      </c>
      <c r="I22">
        <v>5</v>
      </c>
    </row>
    <row r="23" spans="3:9" x14ac:dyDescent="0.25">
      <c r="C23" s="1" t="s">
        <v>17</v>
      </c>
    </row>
    <row r="24" spans="3:9" x14ac:dyDescent="0.25">
      <c r="C24" t="s">
        <v>18</v>
      </c>
      <c r="D24" s="2">
        <v>-1000</v>
      </c>
      <c r="E24" s="2">
        <v>150</v>
      </c>
      <c r="F24" s="2">
        <v>250</v>
      </c>
      <c r="G24" s="2">
        <v>250</v>
      </c>
      <c r="H24" s="2">
        <v>400</v>
      </c>
      <c r="I24" s="2">
        <v>400</v>
      </c>
    </row>
    <row r="25" spans="3:9" x14ac:dyDescent="0.25">
      <c r="C25" t="s">
        <v>20</v>
      </c>
      <c r="D25">
        <f>1/(1+0.08)^D22</f>
        <v>1</v>
      </c>
      <c r="E25">
        <f t="shared" ref="E25:I25" si="0">1/(1+0.08)^E22</f>
        <v>0.92592592592592582</v>
      </c>
      <c r="F25">
        <f t="shared" si="0"/>
        <v>0.85733882030178321</v>
      </c>
      <c r="G25">
        <f t="shared" si="0"/>
        <v>0.79383224102016958</v>
      </c>
      <c r="H25">
        <f t="shared" si="0"/>
        <v>0.73502985279645328</v>
      </c>
      <c r="I25">
        <f t="shared" si="0"/>
        <v>0.68058319703375303</v>
      </c>
    </row>
    <row r="26" spans="3:9" x14ac:dyDescent="0.25">
      <c r="C26" t="s">
        <v>22</v>
      </c>
      <c r="D26">
        <f>D25*D24</f>
        <v>-1000</v>
      </c>
      <c r="E26">
        <f t="shared" ref="E26:I26" si="1">E25*E24</f>
        <v>138.88888888888889</v>
      </c>
      <c r="F26">
        <f t="shared" si="1"/>
        <v>214.33470507544581</v>
      </c>
      <c r="G26">
        <f t="shared" si="1"/>
        <v>198.4580602550424</v>
      </c>
      <c r="H26">
        <f t="shared" si="1"/>
        <v>294.01194111858132</v>
      </c>
      <c r="I26">
        <f t="shared" si="1"/>
        <v>272.23327881350122</v>
      </c>
    </row>
    <row r="27" spans="3:9" x14ac:dyDescent="0.25">
      <c r="C27" t="s">
        <v>21</v>
      </c>
      <c r="D27">
        <f>D26</f>
        <v>-1000</v>
      </c>
      <c r="E27">
        <f>D27+E26</f>
        <v>-861.11111111111109</v>
      </c>
      <c r="F27">
        <f t="shared" ref="F27:I27" si="2">E27+F26</f>
        <v>-646.77640603566533</v>
      </c>
      <c r="G27">
        <f t="shared" si="2"/>
        <v>-448.31834578062296</v>
      </c>
      <c r="H27">
        <f t="shared" si="2"/>
        <v>-154.30640466204164</v>
      </c>
      <c r="I27" s="3">
        <f t="shared" si="2"/>
        <v>117.92687415145957</v>
      </c>
    </row>
    <row r="28" spans="3:9" x14ac:dyDescent="0.25">
      <c r="C28" s="25">
        <f>IRR(D24:I24)</f>
        <v>0.11735267403276706</v>
      </c>
    </row>
    <row r="29" spans="3:9" x14ac:dyDescent="0.25">
      <c r="C29" s="3" t="s">
        <v>23</v>
      </c>
    </row>
    <row r="30" spans="3:9" x14ac:dyDescent="0.25">
      <c r="C30" s="11" t="s">
        <v>24</v>
      </c>
      <c r="D30" s="11"/>
    </row>
    <row r="31" spans="3:9" x14ac:dyDescent="0.25">
      <c r="C31" s="11">
        <v>0.08</v>
      </c>
      <c r="D31" s="11"/>
    </row>
    <row r="32" spans="3:9" x14ac:dyDescent="0.25">
      <c r="C32" s="12">
        <f>NPV(C31,E24:I24)</f>
        <v>1117.9268741514595</v>
      </c>
      <c r="D32" s="11"/>
      <c r="G32" t="s">
        <v>27</v>
      </c>
    </row>
    <row r="33" spans="3:10" x14ac:dyDescent="0.25">
      <c r="C33" s="15">
        <f>-1000+1117.93</f>
        <v>117.93000000000006</v>
      </c>
      <c r="D33" s="11"/>
    </row>
    <row r="34" spans="3:10" x14ac:dyDescent="0.25">
      <c r="C34" s="13">
        <f>IRR(D24:I24)</f>
        <v>0.11735267403276706</v>
      </c>
      <c r="D34" s="14" t="s">
        <v>29</v>
      </c>
    </row>
    <row r="35" spans="3:10" x14ac:dyDescent="0.25">
      <c r="C35" t="s">
        <v>25</v>
      </c>
    </row>
    <row r="36" spans="3:10" x14ac:dyDescent="0.25">
      <c r="D36" t="s">
        <v>26</v>
      </c>
      <c r="E36" t="s">
        <v>27</v>
      </c>
    </row>
    <row r="37" spans="3:10" x14ac:dyDescent="0.25">
      <c r="D37" s="4">
        <v>0.05</v>
      </c>
      <c r="E37">
        <v>228.06</v>
      </c>
    </row>
    <row r="38" spans="3:10" x14ac:dyDescent="0.25">
      <c r="D38" s="4">
        <v>0.06</v>
      </c>
      <c r="E38">
        <v>189.65</v>
      </c>
    </row>
    <row r="39" spans="3:10" x14ac:dyDescent="0.25">
      <c r="D39" s="4">
        <v>0.08</v>
      </c>
      <c r="E39">
        <v>117.92687415145957</v>
      </c>
    </row>
    <row r="40" spans="3:10" x14ac:dyDescent="0.25">
      <c r="D40" s="4">
        <v>0.1</v>
      </c>
      <c r="E40">
        <v>52.38</v>
      </c>
    </row>
    <row r="41" spans="3:10" x14ac:dyDescent="0.25">
      <c r="D41" s="4">
        <v>0.14000000000000001</v>
      </c>
      <c r="E41">
        <v>-62.72</v>
      </c>
    </row>
    <row r="42" spans="3:10" x14ac:dyDescent="0.25">
      <c r="D42" s="4">
        <v>0.15</v>
      </c>
      <c r="E42">
        <v>-88.58</v>
      </c>
      <c r="J42" t="s">
        <v>28</v>
      </c>
    </row>
    <row r="45" spans="3:10" x14ac:dyDescent="0.25">
      <c r="C45" t="s">
        <v>19</v>
      </c>
      <c r="D45">
        <v>0</v>
      </c>
      <c r="E45">
        <v>1</v>
      </c>
      <c r="F45">
        <v>2</v>
      </c>
      <c r="G45">
        <v>3</v>
      </c>
      <c r="H45">
        <v>4</v>
      </c>
      <c r="I45">
        <v>5</v>
      </c>
    </row>
    <row r="46" spans="3:10" x14ac:dyDescent="0.25">
      <c r="C46" s="5" t="s">
        <v>30</v>
      </c>
    </row>
    <row r="47" spans="3:10" x14ac:dyDescent="0.25">
      <c r="C47" t="s">
        <v>18</v>
      </c>
      <c r="D47">
        <v>-1000</v>
      </c>
      <c r="E47">
        <v>300</v>
      </c>
      <c r="F47">
        <v>300</v>
      </c>
      <c r="G47">
        <v>270</v>
      </c>
      <c r="H47">
        <v>250</v>
      </c>
      <c r="I47">
        <v>272</v>
      </c>
    </row>
    <row r="48" spans="3:10" x14ac:dyDescent="0.25">
      <c r="C48" t="s">
        <v>20</v>
      </c>
      <c r="D48">
        <f>1/(1+0.08)^D45</f>
        <v>1</v>
      </c>
      <c r="E48">
        <f t="shared" ref="E48:I48" si="3">1/(1+0.08)^E45</f>
        <v>0.92592592592592582</v>
      </c>
      <c r="F48">
        <f t="shared" si="3"/>
        <v>0.85733882030178321</v>
      </c>
      <c r="G48">
        <f t="shared" si="3"/>
        <v>0.79383224102016958</v>
      </c>
      <c r="H48">
        <f t="shared" si="3"/>
        <v>0.73502985279645328</v>
      </c>
      <c r="I48">
        <f t="shared" si="3"/>
        <v>0.68058319703375303</v>
      </c>
    </row>
    <row r="49" spans="3:9" x14ac:dyDescent="0.25">
      <c r="C49" t="s">
        <v>22</v>
      </c>
      <c r="D49">
        <f>D48*D47</f>
        <v>-1000</v>
      </c>
      <c r="E49">
        <f t="shared" ref="E49:I49" si="4">E48*E47</f>
        <v>277.77777777777777</v>
      </c>
      <c r="F49">
        <f t="shared" si="4"/>
        <v>257.20164609053495</v>
      </c>
      <c r="G49">
        <f t="shared" si="4"/>
        <v>214.33470507544578</v>
      </c>
      <c r="H49">
        <f t="shared" si="4"/>
        <v>183.75746319911332</v>
      </c>
      <c r="I49">
        <f t="shared" si="4"/>
        <v>185.11862959318083</v>
      </c>
    </row>
    <row r="50" spans="3:9" x14ac:dyDescent="0.25">
      <c r="C50" t="s">
        <v>21</v>
      </c>
      <c r="D50">
        <v>-1000</v>
      </c>
      <c r="E50">
        <f>D50+E49</f>
        <v>-722.22222222222217</v>
      </c>
      <c r="F50">
        <f t="shared" ref="F50:I50" si="5">E50+F49</f>
        <v>-465.02057613168722</v>
      </c>
      <c r="G50">
        <f t="shared" si="5"/>
        <v>-250.68587105624144</v>
      </c>
      <c r="H50">
        <f t="shared" si="5"/>
        <v>-66.928407857128121</v>
      </c>
      <c r="I50" s="7">
        <f t="shared" si="5"/>
        <v>118.19022173605271</v>
      </c>
    </row>
    <row r="51" spans="3:9" x14ac:dyDescent="0.25">
      <c r="C51" s="5" t="s">
        <v>31</v>
      </c>
    </row>
    <row r="52" spans="3:9" x14ac:dyDescent="0.25">
      <c r="C52" t="s">
        <v>38</v>
      </c>
    </row>
    <row r="53" spans="3:9" x14ac:dyDescent="0.25">
      <c r="C53" s="11" t="s">
        <v>27</v>
      </c>
    </row>
    <row r="54" spans="3:9" x14ac:dyDescent="0.25">
      <c r="C54" s="12">
        <f>NPV(E60,E47:I47)</f>
        <v>1118.1902217360528</v>
      </c>
    </row>
    <row r="55" spans="3:9" x14ac:dyDescent="0.25">
      <c r="C55" s="11">
        <f>-1000+1118.19</f>
        <v>118.19000000000005</v>
      </c>
    </row>
    <row r="56" spans="3:9" x14ac:dyDescent="0.25">
      <c r="C56" s="11" t="s">
        <v>34</v>
      </c>
      <c r="E56" t="s">
        <v>26</v>
      </c>
      <c r="F56" s="1" t="s">
        <v>32</v>
      </c>
      <c r="G56" s="5" t="s">
        <v>33</v>
      </c>
    </row>
    <row r="57" spans="3:9" x14ac:dyDescent="0.25">
      <c r="C57" s="13">
        <f>IRR(D47:I47)</f>
        <v>0.12514556241106578</v>
      </c>
      <c r="E57">
        <v>0.02</v>
      </c>
      <c r="F57">
        <v>354.76</v>
      </c>
      <c r="G57">
        <v>314.20999999999998</v>
      </c>
    </row>
    <row r="58" spans="3:9" x14ac:dyDescent="0.25">
      <c r="E58">
        <v>0.05</v>
      </c>
      <c r="F58" s="6">
        <v>228.06</v>
      </c>
      <c r="G58">
        <v>209.85</v>
      </c>
    </row>
    <row r="59" spans="3:9" x14ac:dyDescent="0.25">
      <c r="E59">
        <v>0.06</v>
      </c>
      <c r="F59" s="6">
        <v>189.65</v>
      </c>
      <c r="G59">
        <v>177.99</v>
      </c>
    </row>
    <row r="60" spans="3:9" x14ac:dyDescent="0.25">
      <c r="E60" s="7">
        <v>0.08</v>
      </c>
      <c r="F60" s="8">
        <v>117.92687415145957</v>
      </c>
      <c r="G60" s="8">
        <v>118.19022173605271</v>
      </c>
    </row>
    <row r="61" spans="3:9" x14ac:dyDescent="0.25">
      <c r="E61">
        <v>0.1</v>
      </c>
      <c r="F61" s="6">
        <v>52.38</v>
      </c>
      <c r="G61">
        <v>63.16</v>
      </c>
    </row>
    <row r="62" spans="3:9" x14ac:dyDescent="0.25">
      <c r="E62">
        <v>0.14000000000000001</v>
      </c>
      <c r="F62" s="6">
        <v>-62.72</v>
      </c>
      <c r="G62">
        <v>-34.47</v>
      </c>
    </row>
    <row r="63" spans="3:9" x14ac:dyDescent="0.25">
      <c r="E63">
        <v>0.15</v>
      </c>
      <c r="F63" s="6">
        <v>-88.58</v>
      </c>
      <c r="G63">
        <v>-56.59</v>
      </c>
    </row>
    <row r="66" spans="3:9" x14ac:dyDescent="0.25">
      <c r="C66" t="s">
        <v>35</v>
      </c>
    </row>
    <row r="67" spans="3:9" x14ac:dyDescent="0.25">
      <c r="C67" t="s">
        <v>36</v>
      </c>
      <c r="D67">
        <v>0</v>
      </c>
      <c r="E67">
        <v>1</v>
      </c>
      <c r="F67">
        <v>2</v>
      </c>
      <c r="G67">
        <v>3</v>
      </c>
      <c r="H67">
        <v>4</v>
      </c>
      <c r="I67">
        <v>5</v>
      </c>
    </row>
    <row r="68" spans="3:9" x14ac:dyDescent="0.25">
      <c r="C68" t="s">
        <v>18</v>
      </c>
      <c r="D68">
        <v>-1000</v>
      </c>
      <c r="E68">
        <v>150</v>
      </c>
      <c r="F68">
        <v>250</v>
      </c>
      <c r="G68">
        <v>250</v>
      </c>
      <c r="H68">
        <v>400</v>
      </c>
      <c r="I68">
        <v>400</v>
      </c>
    </row>
    <row r="69" spans="3:9" x14ac:dyDescent="0.25">
      <c r="C69" t="s">
        <v>37</v>
      </c>
      <c r="D69" s="9">
        <v>-1000</v>
      </c>
      <c r="E69" s="9">
        <f>D69+E68</f>
        <v>-850</v>
      </c>
      <c r="F69" s="9">
        <f t="shared" ref="F69:I69" si="6">E69+F68</f>
        <v>-600</v>
      </c>
      <c r="G69" s="9">
        <f t="shared" si="6"/>
        <v>-350</v>
      </c>
      <c r="H69" s="10">
        <f t="shared" si="6"/>
        <v>50</v>
      </c>
      <c r="I69" s="10">
        <f t="shared" si="6"/>
        <v>450</v>
      </c>
    </row>
    <row r="70" spans="3:9" x14ac:dyDescent="0.25">
      <c r="D70">
        <v>-1000</v>
      </c>
      <c r="E70">
        <v>-850</v>
      </c>
      <c r="F70">
        <v>-600</v>
      </c>
      <c r="G70">
        <v>-350</v>
      </c>
      <c r="H70">
        <v>50</v>
      </c>
      <c r="I70">
        <v>450</v>
      </c>
    </row>
    <row r="72" spans="3:9" x14ac:dyDescent="0.25">
      <c r="C72" t="s">
        <v>101</v>
      </c>
      <c r="D72">
        <f>(350*12)/400</f>
        <v>10.5</v>
      </c>
    </row>
    <row r="73" spans="3:9" x14ac:dyDescent="0.25">
      <c r="E73">
        <v>0</v>
      </c>
      <c r="F73">
        <v>-1000</v>
      </c>
    </row>
    <row r="74" spans="3:9" x14ac:dyDescent="0.25">
      <c r="E74">
        <v>1</v>
      </c>
      <c r="F74">
        <v>-850</v>
      </c>
    </row>
    <row r="75" spans="3:9" x14ac:dyDescent="0.25">
      <c r="E75">
        <v>2</v>
      </c>
      <c r="F75">
        <v>-600</v>
      </c>
    </row>
    <row r="76" spans="3:9" x14ac:dyDescent="0.25">
      <c r="E76">
        <v>3</v>
      </c>
      <c r="F76">
        <v>-350</v>
      </c>
    </row>
    <row r="77" spans="3:9" x14ac:dyDescent="0.25">
      <c r="E77">
        <v>4</v>
      </c>
      <c r="F77">
        <v>50</v>
      </c>
    </row>
    <row r="78" spans="3:9" x14ac:dyDescent="0.25">
      <c r="E78">
        <v>5</v>
      </c>
      <c r="F78">
        <v>450</v>
      </c>
    </row>
    <row r="81" spans="3:10" x14ac:dyDescent="0.25">
      <c r="E81" s="29">
        <v>-1000</v>
      </c>
      <c r="F81" s="29">
        <v>-861.11111111111109</v>
      </c>
      <c r="G81" s="29">
        <v>-646.77640603566533</v>
      </c>
      <c r="H81" s="29">
        <v>-448.31834578062296</v>
      </c>
      <c r="I81" s="29">
        <v>-154.30640466204164</v>
      </c>
      <c r="J81" s="30">
        <v>117.92687415145957</v>
      </c>
    </row>
    <row r="82" spans="3:10" x14ac:dyDescent="0.25">
      <c r="C82" t="s">
        <v>70</v>
      </c>
    </row>
    <row r="83" spans="3:10" x14ac:dyDescent="0.25">
      <c r="E83">
        <v>0</v>
      </c>
      <c r="F83" s="6">
        <v>-1000</v>
      </c>
    </row>
    <row r="84" spans="3:10" x14ac:dyDescent="0.25">
      <c r="E84">
        <v>1</v>
      </c>
      <c r="F84" s="6">
        <v>-861.11111111111109</v>
      </c>
    </row>
    <row r="85" spans="3:10" x14ac:dyDescent="0.25">
      <c r="E85">
        <v>2</v>
      </c>
      <c r="F85" s="6">
        <v>-646.77640603566533</v>
      </c>
    </row>
    <row r="86" spans="3:10" x14ac:dyDescent="0.25">
      <c r="E86">
        <v>3</v>
      </c>
      <c r="F86" s="6">
        <v>-448.31834578062296</v>
      </c>
    </row>
    <row r="87" spans="3:10" x14ac:dyDescent="0.25">
      <c r="E87">
        <v>4</v>
      </c>
      <c r="F87" s="6">
        <v>-154.30640466204164</v>
      </c>
    </row>
    <row r="88" spans="3:10" x14ac:dyDescent="0.25">
      <c r="E88">
        <v>5</v>
      </c>
      <c r="F88" s="6">
        <v>117.92687415145957</v>
      </c>
    </row>
    <row r="89" spans="3:10" x14ac:dyDescent="0.25">
      <c r="C89" t="s">
        <v>102</v>
      </c>
      <c r="D89">
        <f>(12*H27*-1)/I26</f>
        <v>6.801801984000007</v>
      </c>
    </row>
    <row r="94" spans="3:10" x14ac:dyDescent="0.25">
      <c r="C94" s="7" t="s">
        <v>74</v>
      </c>
    </row>
    <row r="96" spans="3:10" x14ac:dyDescent="0.25">
      <c r="C96" t="s">
        <v>71</v>
      </c>
    </row>
    <row r="97" spans="3:9" x14ac:dyDescent="0.25">
      <c r="C97" s="16"/>
    </row>
    <row r="98" spans="3:9" x14ac:dyDescent="0.25">
      <c r="C98" t="s">
        <v>40</v>
      </c>
    </row>
    <row r="99" spans="3:9" x14ac:dyDescent="0.25">
      <c r="C99" s="7" t="s">
        <v>72</v>
      </c>
    </row>
    <row r="100" spans="3:9" x14ac:dyDescent="0.25">
      <c r="C100" t="s">
        <v>73</v>
      </c>
    </row>
    <row r="101" spans="3:9" x14ac:dyDescent="0.25">
      <c r="D101">
        <v>0</v>
      </c>
      <c r="E101">
        <v>1</v>
      </c>
      <c r="F101">
        <v>2</v>
      </c>
      <c r="G101">
        <v>3</v>
      </c>
      <c r="H101">
        <v>4</v>
      </c>
      <c r="I101">
        <v>5</v>
      </c>
    </row>
    <row r="102" spans="3:9" x14ac:dyDescent="0.25">
      <c r="C102" t="s">
        <v>76</v>
      </c>
      <c r="D102" s="27">
        <v>-1000</v>
      </c>
    </row>
    <row r="103" spans="3:9" x14ac:dyDescent="0.25">
      <c r="C103" t="s">
        <v>77</v>
      </c>
      <c r="E103">
        <v>150</v>
      </c>
      <c r="F103">
        <v>250</v>
      </c>
      <c r="G103">
        <v>250</v>
      </c>
      <c r="H103">
        <v>400</v>
      </c>
      <c r="I103">
        <v>400</v>
      </c>
    </row>
    <row r="104" spans="3:9" x14ac:dyDescent="0.25">
      <c r="C104" s="16" t="s">
        <v>75</v>
      </c>
      <c r="D104" s="16"/>
      <c r="E104" s="16">
        <f>(1+0.09)^4</f>
        <v>1.4115816100000003</v>
      </c>
      <c r="F104" s="16">
        <f>(1+0.09)^3</f>
        <v>1.2950290000000002</v>
      </c>
      <c r="G104" s="16">
        <f>(1+0.09)^2</f>
        <v>1.1881000000000002</v>
      </c>
      <c r="H104" s="16">
        <f>(1+0.09)^1</f>
        <v>1.0900000000000001</v>
      </c>
      <c r="I104" s="26">
        <f>(1+0.09)^0</f>
        <v>1</v>
      </c>
    </row>
    <row r="105" spans="3:9" x14ac:dyDescent="0.25">
      <c r="C105" s="16" t="s">
        <v>78</v>
      </c>
      <c r="D105" s="16"/>
      <c r="E105" s="16">
        <f>E104*E103</f>
        <v>211.73724150000004</v>
      </c>
      <c r="F105" s="16">
        <f t="shared" ref="F105:I105" si="7">F104*F103</f>
        <v>323.75725000000006</v>
      </c>
      <c r="G105" s="16">
        <f t="shared" si="7"/>
        <v>297.02500000000003</v>
      </c>
      <c r="H105" s="16">
        <f t="shared" si="7"/>
        <v>436.00000000000006</v>
      </c>
      <c r="I105" s="16">
        <f t="shared" si="7"/>
        <v>400</v>
      </c>
    </row>
    <row r="106" spans="3:9" x14ac:dyDescent="0.25">
      <c r="C106" s="16" t="s">
        <v>79</v>
      </c>
      <c r="D106" s="16"/>
      <c r="E106" s="16"/>
      <c r="F106" s="16"/>
      <c r="G106" s="16"/>
      <c r="H106" s="16"/>
      <c r="I106" s="28">
        <f>SUM(E105:I105)</f>
        <v>1668.5194915000002</v>
      </c>
    </row>
    <row r="107" spans="3:9" x14ac:dyDescent="0.25">
      <c r="C107" t="s">
        <v>80</v>
      </c>
      <c r="D107" s="21">
        <f>1/(1+0.08)^D101</f>
        <v>1</v>
      </c>
      <c r="E107">
        <f t="shared" ref="E107:I107" si="8">1/(1+0.08)^E101</f>
        <v>0.92592592592592582</v>
      </c>
      <c r="F107">
        <f t="shared" si="8"/>
        <v>0.85733882030178321</v>
      </c>
      <c r="G107">
        <f t="shared" si="8"/>
        <v>0.79383224102016958</v>
      </c>
      <c r="H107">
        <f t="shared" si="8"/>
        <v>0.73502985279645328</v>
      </c>
      <c r="I107">
        <f t="shared" si="8"/>
        <v>0.68058319703375303</v>
      </c>
    </row>
    <row r="108" spans="3:9" x14ac:dyDescent="0.25">
      <c r="C108" t="s">
        <v>81</v>
      </c>
      <c r="D108">
        <f>D102*D107</f>
        <v>-1000</v>
      </c>
    </row>
    <row r="110" spans="3:9" x14ac:dyDescent="0.25">
      <c r="C110" s="1" t="s">
        <v>85</v>
      </c>
      <c r="D110" s="1">
        <f>(((I106/D108*-1))^(1/5))-1</f>
        <v>0.10781248898806739</v>
      </c>
    </row>
    <row r="111" spans="3:9" x14ac:dyDescent="0.25">
      <c r="C111" t="s">
        <v>82</v>
      </c>
      <c r="D111">
        <f>(I106/(-1*D108))</f>
        <v>1.6685194915000001</v>
      </c>
    </row>
    <row r="112" spans="3:9" x14ac:dyDescent="0.25">
      <c r="C112" t="s">
        <v>83</v>
      </c>
      <c r="D112">
        <f>(D111)^(1/5)</f>
        <v>1.1078124889880674</v>
      </c>
    </row>
    <row r="113" spans="3:9" x14ac:dyDescent="0.25">
      <c r="C113" t="s">
        <v>84</v>
      </c>
      <c r="D113">
        <f>D112-1</f>
        <v>0.10781248898806739</v>
      </c>
    </row>
    <row r="115" spans="3:9" x14ac:dyDescent="0.25">
      <c r="C115" t="s">
        <v>86</v>
      </c>
    </row>
    <row r="118" spans="3:9" x14ac:dyDescent="0.25">
      <c r="C118" s="7" t="s">
        <v>87</v>
      </c>
    </row>
    <row r="119" spans="3:9" x14ac:dyDescent="0.25">
      <c r="C119" t="s">
        <v>40</v>
      </c>
    </row>
    <row r="120" spans="3:9" x14ac:dyDescent="0.25">
      <c r="C120" t="s">
        <v>88</v>
      </c>
    </row>
    <row r="121" spans="3:9" x14ac:dyDescent="0.25">
      <c r="D121" t="s">
        <v>89</v>
      </c>
      <c r="E121">
        <v>1</v>
      </c>
      <c r="F121">
        <v>2</v>
      </c>
      <c r="G121">
        <v>3</v>
      </c>
      <c r="H121">
        <v>4</v>
      </c>
      <c r="I121">
        <v>5</v>
      </c>
    </row>
    <row r="122" spans="3:9" x14ac:dyDescent="0.25">
      <c r="C122" s="19" t="s">
        <v>90</v>
      </c>
      <c r="D122" s="19"/>
      <c r="E122" s="19">
        <v>900</v>
      </c>
      <c r="F122" s="19">
        <v>880</v>
      </c>
      <c r="G122" s="19">
        <v>850</v>
      </c>
      <c r="H122" s="19">
        <v>400</v>
      </c>
      <c r="I122" s="19">
        <v>0</v>
      </c>
    </row>
    <row r="123" spans="3:9" x14ac:dyDescent="0.25">
      <c r="C123" s="22" t="s">
        <v>80</v>
      </c>
      <c r="D123" s="22">
        <v>1</v>
      </c>
      <c r="E123" s="22">
        <v>0.92592592592592582</v>
      </c>
      <c r="F123" s="22">
        <v>0.85733882030178321</v>
      </c>
      <c r="G123" s="22">
        <v>0.79383224102016958</v>
      </c>
      <c r="H123" s="22">
        <v>0.73502985279645328</v>
      </c>
      <c r="I123" s="22">
        <v>0.68058319703375303</v>
      </c>
    </row>
    <row r="124" spans="3:9" x14ac:dyDescent="0.25">
      <c r="C124" t="s">
        <v>91</v>
      </c>
      <c r="E124">
        <f>E122*E123</f>
        <v>833.33333333333326</v>
      </c>
      <c r="F124">
        <f t="shared" ref="F124:I124" si="9">F122*F123</f>
        <v>754.4581618655692</v>
      </c>
      <c r="G124">
        <f t="shared" si="9"/>
        <v>674.75740486714415</v>
      </c>
      <c r="H124">
        <f t="shared" si="9"/>
        <v>294.01194111858132</v>
      </c>
      <c r="I124">
        <f t="shared" si="9"/>
        <v>0</v>
      </c>
    </row>
    <row r="125" spans="3:9" x14ac:dyDescent="0.25">
      <c r="C125" t="s">
        <v>92</v>
      </c>
      <c r="D125" s="1">
        <v>-1000</v>
      </c>
      <c r="E125" s="23"/>
      <c r="F125" s="23"/>
      <c r="G125" s="23"/>
      <c r="H125" s="23"/>
      <c r="I125" s="23"/>
    </row>
    <row r="126" spans="3:9" x14ac:dyDescent="0.25">
      <c r="C126" t="s">
        <v>93</v>
      </c>
      <c r="E126">
        <f>E124+D26+E26</f>
        <v>-27.777777777777857</v>
      </c>
      <c r="F126" s="23"/>
      <c r="G126" s="23"/>
      <c r="H126" s="23"/>
      <c r="I126" s="23"/>
    </row>
    <row r="127" spans="3:9" x14ac:dyDescent="0.25">
      <c r="C127" t="s">
        <v>94</v>
      </c>
      <c r="F127">
        <f>F124+D26+E26+F26</f>
        <v>107.68175582990389</v>
      </c>
      <c r="G127" s="23"/>
      <c r="H127" s="23"/>
      <c r="I127" s="23"/>
    </row>
    <row r="128" spans="3:9" x14ac:dyDescent="0.25">
      <c r="C128" t="s">
        <v>95</v>
      </c>
      <c r="G128" s="24">
        <f>G124+D26+E26+F26+G26</f>
        <v>226.43905908652124</v>
      </c>
      <c r="H128" s="23"/>
      <c r="I128" s="23"/>
    </row>
    <row r="129" spans="3:10" x14ac:dyDescent="0.25">
      <c r="C129" t="s">
        <v>96</v>
      </c>
      <c r="H129" s="24">
        <f>H124+D26+E26+F26+G26+H26</f>
        <v>139.7055364565397</v>
      </c>
      <c r="I129" s="23"/>
    </row>
    <row r="130" spans="3:10" x14ac:dyDescent="0.25">
      <c r="C130" t="s">
        <v>97</v>
      </c>
      <c r="I130" s="1">
        <v>117.92687415145957</v>
      </c>
    </row>
    <row r="131" spans="3:10" x14ac:dyDescent="0.25">
      <c r="D131" s="31">
        <f>SUM(D125:D130)</f>
        <v>-1000</v>
      </c>
      <c r="E131" s="31">
        <f t="shared" ref="E131:I131" si="10">SUM(E125:E130)</f>
        <v>-27.777777777777857</v>
      </c>
      <c r="F131" s="31">
        <f t="shared" si="10"/>
        <v>107.68175582990389</v>
      </c>
      <c r="G131" s="31">
        <f t="shared" si="10"/>
        <v>226.43905908652124</v>
      </c>
      <c r="H131" s="31">
        <f t="shared" si="10"/>
        <v>139.7055364565397</v>
      </c>
      <c r="I131" s="31">
        <f t="shared" si="10"/>
        <v>117.92687415145957</v>
      </c>
    </row>
    <row r="132" spans="3:10" x14ac:dyDescent="0.25">
      <c r="D132" s="31">
        <v>0</v>
      </c>
      <c r="E132" s="31">
        <v>1</v>
      </c>
      <c r="F132" s="31">
        <v>2</v>
      </c>
      <c r="G132" s="31">
        <v>3</v>
      </c>
      <c r="H132" s="31">
        <v>4</v>
      </c>
      <c r="I132" s="31">
        <v>5</v>
      </c>
    </row>
    <row r="133" spans="3:10" x14ac:dyDescent="0.25">
      <c r="D133" s="31">
        <v>-1000</v>
      </c>
      <c r="E133" s="31">
        <v>-27.777777777777857</v>
      </c>
      <c r="F133" s="31">
        <v>107.68175582990389</v>
      </c>
      <c r="G133" s="31">
        <v>226.43905908652124</v>
      </c>
      <c r="H133" s="31">
        <v>139.7055364565397</v>
      </c>
      <c r="I133" s="31">
        <v>117.92687415145957</v>
      </c>
    </row>
    <row r="135" spans="3:10" x14ac:dyDescent="0.25">
      <c r="C135" t="s">
        <v>98</v>
      </c>
    </row>
    <row r="137" spans="3:10" x14ac:dyDescent="0.25">
      <c r="C137" t="s">
        <v>18</v>
      </c>
      <c r="D137" s="2">
        <v>-1000</v>
      </c>
      <c r="E137" s="2">
        <v>150</v>
      </c>
      <c r="F137" s="2">
        <v>250</v>
      </c>
      <c r="G137" s="2">
        <v>250</v>
      </c>
      <c r="H137" s="2">
        <v>400</v>
      </c>
      <c r="I137" s="2">
        <v>400</v>
      </c>
    </row>
    <row r="138" spans="3:10" x14ac:dyDescent="0.25">
      <c r="C138" t="s">
        <v>20</v>
      </c>
      <c r="D138">
        <f>1/(1+0.08)^D135</f>
        <v>1</v>
      </c>
      <c r="E138">
        <v>0.92592592592592582</v>
      </c>
      <c r="F138">
        <v>0.85733882030178321</v>
      </c>
      <c r="G138">
        <v>0.79383224102016958</v>
      </c>
      <c r="H138">
        <v>0.73502985279645328</v>
      </c>
      <c r="I138">
        <v>0.68058319703375303</v>
      </c>
    </row>
    <row r="139" spans="3:10" x14ac:dyDescent="0.25">
      <c r="C139" t="s">
        <v>22</v>
      </c>
      <c r="D139">
        <f>D138*D137</f>
        <v>-1000</v>
      </c>
      <c r="E139">
        <f t="shared" ref="E139:I139" si="11">E138*E137</f>
        <v>138.88888888888889</v>
      </c>
      <c r="F139">
        <f t="shared" si="11"/>
        <v>214.33470507544581</v>
      </c>
      <c r="G139">
        <f t="shared" si="11"/>
        <v>198.4580602550424</v>
      </c>
      <c r="H139">
        <f t="shared" si="11"/>
        <v>294.01194111858132</v>
      </c>
      <c r="I139">
        <f t="shared" si="11"/>
        <v>272.23327881350122</v>
      </c>
      <c r="J139">
        <f>SUM(E139:I139)</f>
        <v>1117.9268741514597</v>
      </c>
    </row>
    <row r="140" spans="3:10" x14ac:dyDescent="0.25">
      <c r="C140" t="s">
        <v>21</v>
      </c>
      <c r="D140">
        <f>D139</f>
        <v>-1000</v>
      </c>
      <c r="E140">
        <f>D140+E139</f>
        <v>-861.11111111111109</v>
      </c>
      <c r="F140">
        <f t="shared" ref="F140" si="12">E140+F139</f>
        <v>-646.77640603566533</v>
      </c>
      <c r="G140">
        <f>F140+G139</f>
        <v>-448.31834578062296</v>
      </c>
      <c r="H140">
        <f t="shared" ref="H140" si="13">G140+H139</f>
        <v>-154.30640466204164</v>
      </c>
      <c r="I140" s="3">
        <f t="shared" ref="I140" si="14">H140+I139</f>
        <v>117.92687415145957</v>
      </c>
    </row>
    <row r="142" spans="3:10" x14ac:dyDescent="0.25">
      <c r="C142" t="s">
        <v>99</v>
      </c>
      <c r="D142">
        <f>(J139/D140*-1)</f>
        <v>1.1179268741514596</v>
      </c>
    </row>
    <row r="143" spans="3:10" x14ac:dyDescent="0.25">
      <c r="C143" t="s">
        <v>100</v>
      </c>
    </row>
  </sheetData>
  <sortState ref="D36:E41">
    <sortCondition ref="D36:D41"/>
  </sortState>
  <pageMargins left="0.7" right="0.7" top="0.75" bottom="0.75" header="0.3" footer="0.3"/>
  <pageSetup paperSize="9" scale="56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opLeftCell="B73" zoomScale="140" zoomScaleNormal="140" workbookViewId="0">
      <selection activeCell="C82" sqref="C82"/>
    </sheetView>
  </sheetViews>
  <sheetFormatPr defaultRowHeight="15" x14ac:dyDescent="0.25"/>
  <cols>
    <col min="2" max="2" width="26.5703125" customWidth="1"/>
    <col min="3" max="3" width="12.28515625" customWidth="1"/>
  </cols>
  <sheetData>
    <row r="2" spans="1:9" x14ac:dyDescent="0.25">
      <c r="A2" s="7" t="s">
        <v>39</v>
      </c>
      <c r="B2" s="7"/>
    </row>
    <row r="3" spans="1:9" x14ac:dyDescent="0.25">
      <c r="D3">
        <v>5</v>
      </c>
      <c r="E3">
        <v>4</v>
      </c>
      <c r="F3">
        <v>3</v>
      </c>
      <c r="G3">
        <v>2</v>
      </c>
      <c r="H3">
        <v>1</v>
      </c>
      <c r="I3">
        <v>0</v>
      </c>
    </row>
    <row r="4" spans="1:9" x14ac:dyDescent="0.25">
      <c r="A4" s="1" t="s">
        <v>40</v>
      </c>
      <c r="D4">
        <v>0</v>
      </c>
      <c r="E4">
        <v>1</v>
      </c>
      <c r="F4">
        <v>2</v>
      </c>
      <c r="G4">
        <v>3</v>
      </c>
      <c r="H4">
        <v>4</v>
      </c>
      <c r="I4">
        <v>5</v>
      </c>
    </row>
    <row r="6" spans="1:9" x14ac:dyDescent="0.25">
      <c r="B6" t="s">
        <v>18</v>
      </c>
      <c r="D6" s="17">
        <v>-1000</v>
      </c>
      <c r="E6">
        <v>150</v>
      </c>
      <c r="F6">
        <v>250</v>
      </c>
      <c r="G6">
        <v>250</v>
      </c>
      <c r="H6">
        <v>400</v>
      </c>
      <c r="I6">
        <v>400</v>
      </c>
    </row>
    <row r="7" spans="1:9" x14ac:dyDescent="0.25">
      <c r="B7" t="s">
        <v>41</v>
      </c>
      <c r="C7">
        <v>0.08</v>
      </c>
    </row>
    <row r="8" spans="1:9" x14ac:dyDescent="0.25">
      <c r="B8" t="s">
        <v>42</v>
      </c>
      <c r="C8">
        <v>0.09</v>
      </c>
    </row>
    <row r="9" spans="1:9" x14ac:dyDescent="0.25">
      <c r="B9" t="s">
        <v>43</v>
      </c>
      <c r="E9">
        <f t="shared" ref="E9:H9" si="0">(1+0.09)^E3</f>
        <v>1.4115816100000003</v>
      </c>
      <c r="F9">
        <f t="shared" si="0"/>
        <v>1.2950290000000002</v>
      </c>
      <c r="G9">
        <f t="shared" si="0"/>
        <v>1.1881000000000002</v>
      </c>
      <c r="H9">
        <f t="shared" si="0"/>
        <v>1.0900000000000001</v>
      </c>
      <c r="I9">
        <f>(1+0.09)^I3</f>
        <v>1</v>
      </c>
    </row>
    <row r="10" spans="1:9" x14ac:dyDescent="0.25">
      <c r="B10" t="s">
        <v>44</v>
      </c>
      <c r="E10">
        <f>E6*E9</f>
        <v>211.73724150000004</v>
      </c>
      <c r="F10">
        <f t="shared" ref="F10:I10" si="1">F6*F9</f>
        <v>323.75725000000006</v>
      </c>
      <c r="G10">
        <f t="shared" si="1"/>
        <v>297.02500000000003</v>
      </c>
      <c r="H10">
        <f t="shared" si="1"/>
        <v>436.00000000000006</v>
      </c>
      <c r="I10">
        <f t="shared" si="1"/>
        <v>400</v>
      </c>
    </row>
    <row r="11" spans="1:9" x14ac:dyDescent="0.25">
      <c r="B11" t="s">
        <v>45</v>
      </c>
      <c r="D11" s="16">
        <v>-1000</v>
      </c>
    </row>
    <row r="12" spans="1:9" x14ac:dyDescent="0.25">
      <c r="B12" t="s">
        <v>46</v>
      </c>
      <c r="I12">
        <f>E10+F10+G10+H10+I10</f>
        <v>1668.5194915000002</v>
      </c>
    </row>
    <row r="14" spans="1:9" x14ac:dyDescent="0.25">
      <c r="B14" s="1" t="s">
        <v>47</v>
      </c>
      <c r="C14" s="1">
        <f>((I12/1000)^(1/5))-1</f>
        <v>0.10781248898806739</v>
      </c>
      <c r="D14" s="18">
        <v>0.10781248898806739</v>
      </c>
    </row>
    <row r="16" spans="1:9" x14ac:dyDescent="0.25">
      <c r="A16" s="7" t="s">
        <v>48</v>
      </c>
      <c r="B16" s="7"/>
    </row>
    <row r="18" spans="1:10" x14ac:dyDescent="0.25">
      <c r="A18" s="1" t="s">
        <v>40</v>
      </c>
    </row>
    <row r="19" spans="1:10" x14ac:dyDescent="0.25">
      <c r="A19" t="s">
        <v>49</v>
      </c>
    </row>
    <row r="20" spans="1:10" x14ac:dyDescent="0.25">
      <c r="A20" s="19" t="s">
        <v>50</v>
      </c>
      <c r="B20" s="19"/>
    </row>
    <row r="21" spans="1:10" x14ac:dyDescent="0.25">
      <c r="D21">
        <v>0</v>
      </c>
      <c r="E21">
        <v>1</v>
      </c>
      <c r="F21">
        <v>2</v>
      </c>
      <c r="G21">
        <v>3</v>
      </c>
      <c r="H21">
        <v>4</v>
      </c>
      <c r="I21">
        <v>5</v>
      </c>
    </row>
    <row r="22" spans="1:10" x14ac:dyDescent="0.25">
      <c r="B22" t="s">
        <v>51</v>
      </c>
      <c r="D22" s="17">
        <v>-1000</v>
      </c>
    </row>
    <row r="23" spans="1:10" x14ac:dyDescent="0.25">
      <c r="B23" t="s">
        <v>52</v>
      </c>
      <c r="E23">
        <v>150</v>
      </c>
      <c r="F23">
        <v>250</v>
      </c>
      <c r="G23">
        <v>250</v>
      </c>
      <c r="H23">
        <v>400</v>
      </c>
      <c r="I23">
        <v>400</v>
      </c>
    </row>
    <row r="24" spans="1:10" x14ac:dyDescent="0.25">
      <c r="B24" t="s">
        <v>55</v>
      </c>
      <c r="E24">
        <v>138.88888888888889</v>
      </c>
      <c r="F24">
        <v>214.33470507544581</v>
      </c>
      <c r="G24">
        <v>198.4580602550424</v>
      </c>
      <c r="H24">
        <v>294.01194111858132</v>
      </c>
      <c r="I24">
        <v>272.23327881350122</v>
      </c>
    </row>
    <row r="25" spans="1:10" x14ac:dyDescent="0.25">
      <c r="B25" t="s">
        <v>56</v>
      </c>
      <c r="J25">
        <f>E24+F24+G24+H24+I24</f>
        <v>1117.9268741514597</v>
      </c>
    </row>
    <row r="26" spans="1:10" x14ac:dyDescent="0.25">
      <c r="A26" t="s">
        <v>53</v>
      </c>
    </row>
    <row r="28" spans="1:10" x14ac:dyDescent="0.25">
      <c r="B28" s="1" t="s">
        <v>54</v>
      </c>
      <c r="C28" s="1">
        <f>J25/1000</f>
        <v>1.1179268741514596</v>
      </c>
    </row>
    <row r="31" spans="1:10" x14ac:dyDescent="0.25">
      <c r="A31" s="20" t="s">
        <v>57</v>
      </c>
      <c r="B31" s="20"/>
      <c r="C31" s="20"/>
      <c r="D31" s="20"/>
      <c r="E31" s="20"/>
      <c r="F31" s="20"/>
    </row>
    <row r="32" spans="1:10" x14ac:dyDescent="0.25">
      <c r="A32" s="20" t="s">
        <v>58</v>
      </c>
      <c r="B32" s="20"/>
      <c r="C32" s="20"/>
      <c r="D32" s="20"/>
      <c r="E32" s="20"/>
      <c r="F32" s="20"/>
    </row>
    <row r="34" spans="1:9" x14ac:dyDescent="0.25">
      <c r="A34" t="s">
        <v>59</v>
      </c>
    </row>
    <row r="36" spans="1:9" x14ac:dyDescent="0.25">
      <c r="D36">
        <v>0</v>
      </c>
      <c r="E36">
        <v>1</v>
      </c>
      <c r="F36">
        <v>2</v>
      </c>
      <c r="G36">
        <v>3</v>
      </c>
      <c r="H36">
        <v>4</v>
      </c>
      <c r="I36">
        <v>5</v>
      </c>
    </row>
    <row r="38" spans="1:9" x14ac:dyDescent="0.25">
      <c r="B38" t="s">
        <v>18</v>
      </c>
      <c r="D38">
        <v>-1000</v>
      </c>
      <c r="E38">
        <v>150</v>
      </c>
      <c r="F38">
        <v>250</v>
      </c>
      <c r="G38">
        <v>250</v>
      </c>
      <c r="H38">
        <v>400</v>
      </c>
      <c r="I38">
        <v>400</v>
      </c>
    </row>
    <row r="39" spans="1:9" x14ac:dyDescent="0.25">
      <c r="B39" t="s">
        <v>60</v>
      </c>
      <c r="E39">
        <v>900</v>
      </c>
      <c r="F39">
        <v>880</v>
      </c>
      <c r="G39">
        <v>850</v>
      </c>
      <c r="H39">
        <v>400</v>
      </c>
      <c r="I39">
        <v>0</v>
      </c>
    </row>
    <row r="40" spans="1:9" x14ac:dyDescent="0.25">
      <c r="D40">
        <v>1</v>
      </c>
      <c r="E40">
        <v>0.92592592592592582</v>
      </c>
      <c r="F40">
        <v>0.85733882030178321</v>
      </c>
      <c r="G40">
        <v>0.79383224102016958</v>
      </c>
      <c r="H40">
        <v>0.73502985279645328</v>
      </c>
      <c r="I40">
        <v>0.68058319703375303</v>
      </c>
    </row>
    <row r="41" spans="1:9" x14ac:dyDescent="0.25">
      <c r="B41" t="s">
        <v>61</v>
      </c>
      <c r="D41">
        <f>D38*D40</f>
        <v>-1000</v>
      </c>
    </row>
    <row r="42" spans="1:9" x14ac:dyDescent="0.25">
      <c r="B42" t="s">
        <v>62</v>
      </c>
      <c r="E42">
        <f>(D38*D40)+(E38*E40)+(E39*E40)</f>
        <v>-27.777777777777828</v>
      </c>
    </row>
    <row r="43" spans="1:9" x14ac:dyDescent="0.25">
      <c r="B43" t="s">
        <v>63</v>
      </c>
      <c r="F43">
        <f>(D38*D40)+(E38*E40)+(F38*F40)+(F39*F40)</f>
        <v>107.68175582990386</v>
      </c>
    </row>
    <row r="44" spans="1:9" x14ac:dyDescent="0.25">
      <c r="B44" t="s">
        <v>64</v>
      </c>
      <c r="G44">
        <f>D38*D40+E38*E40+F38*F40+(G38+G39)*G40</f>
        <v>226.43905908652118</v>
      </c>
    </row>
    <row r="45" spans="1:9" x14ac:dyDescent="0.25">
      <c r="B45" t="s">
        <v>65</v>
      </c>
      <c r="H45">
        <f>D38*D40+E38*E40+F38*F40+G38*G40+(H38+H39)*H40</f>
        <v>139.70553645653968</v>
      </c>
    </row>
    <row r="46" spans="1:9" x14ac:dyDescent="0.25">
      <c r="B46" t="s">
        <v>66</v>
      </c>
      <c r="I46">
        <f>D38*D40+E38*E40+F38*F40+G38*G40+H38*H40+(I38+0)*I40</f>
        <v>117.92687415145957</v>
      </c>
    </row>
    <row r="47" spans="1:9" x14ac:dyDescent="0.25">
      <c r="D47">
        <v>0</v>
      </c>
      <c r="E47">
        <v>1</v>
      </c>
      <c r="F47">
        <v>2</v>
      </c>
      <c r="G47">
        <v>3</v>
      </c>
      <c r="H47">
        <v>4</v>
      </c>
      <c r="I47">
        <v>5</v>
      </c>
    </row>
    <row r="48" spans="1:9" x14ac:dyDescent="0.25">
      <c r="B48" t="s">
        <v>68</v>
      </c>
      <c r="D48">
        <v>-1000</v>
      </c>
      <c r="E48">
        <v>-27.777777777777828</v>
      </c>
      <c r="F48">
        <v>107.68175582990386</v>
      </c>
      <c r="G48">
        <v>226.43905908652118</v>
      </c>
      <c r="H48">
        <v>139.70553645653968</v>
      </c>
      <c r="I48">
        <v>117.92687415145957</v>
      </c>
    </row>
    <row r="50" spans="3:3" x14ac:dyDescent="0.25">
      <c r="C50" t="s">
        <v>67</v>
      </c>
    </row>
    <row r="68" spans="3:3" x14ac:dyDescent="0.25">
      <c r="C68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do ISEG</dc:creator>
  <cp:lastModifiedBy>Elsa Maria Fontainha</cp:lastModifiedBy>
  <cp:lastPrinted>2018-04-30T07:07:59Z</cp:lastPrinted>
  <dcterms:created xsi:type="dcterms:W3CDTF">2015-04-20T09:21:05Z</dcterms:created>
  <dcterms:modified xsi:type="dcterms:W3CDTF">2018-04-30T10:21:18Z</dcterms:modified>
</cp:coreProperties>
</file>