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neves\OneDrive - Instituto Superior de Economia e Gestao da Universidade de Lisboa\Teaching-English\ISEG-CorporateFinance-Master Finance\"/>
    </mc:Choice>
  </mc:AlternateContent>
  <bookViews>
    <workbookView xWindow="0" yWindow="0" windowWidth="20490" windowHeight="7760" tabRatio="702"/>
  </bookViews>
  <sheets>
    <sheet name="Historico" sheetId="1" r:id="rId1"/>
  </sheets>
  <calcPr calcId="162913"/>
</workbook>
</file>

<file path=xl/calcChain.xml><?xml version="1.0" encoding="utf-8"?>
<calcChain xmlns="http://schemas.openxmlformats.org/spreadsheetml/2006/main">
  <c r="N101" i="1" l="1"/>
  <c r="M101" i="1"/>
  <c r="L101" i="1"/>
  <c r="K101" i="1"/>
  <c r="J101" i="1"/>
  <c r="I101" i="1"/>
  <c r="H101" i="1"/>
  <c r="N76" i="1"/>
  <c r="M76" i="1"/>
  <c r="L76" i="1"/>
  <c r="K76" i="1"/>
  <c r="J76" i="1"/>
  <c r="I76" i="1"/>
  <c r="H76" i="1"/>
  <c r="G101" i="1"/>
  <c r="F101" i="1"/>
  <c r="E101" i="1"/>
  <c r="D101" i="1"/>
  <c r="C101" i="1"/>
  <c r="L97" i="1"/>
  <c r="N96" i="1"/>
  <c r="M96" i="1"/>
  <c r="L96" i="1"/>
  <c r="K96" i="1"/>
  <c r="J96" i="1"/>
  <c r="I96" i="1"/>
  <c r="H96" i="1"/>
  <c r="N95" i="1"/>
  <c r="M95" i="1"/>
  <c r="L95" i="1"/>
  <c r="K95" i="1"/>
  <c r="J95" i="1"/>
  <c r="I95" i="1"/>
  <c r="H95" i="1"/>
  <c r="N94" i="1"/>
  <c r="M94" i="1"/>
  <c r="L94" i="1"/>
  <c r="K94" i="1"/>
  <c r="J94" i="1"/>
  <c r="I94" i="1"/>
  <c r="H94" i="1"/>
  <c r="N93" i="1"/>
  <c r="M93" i="1"/>
  <c r="L93" i="1"/>
  <c r="K93" i="1"/>
  <c r="J93" i="1"/>
  <c r="I93" i="1"/>
  <c r="H93" i="1"/>
  <c r="N85" i="1"/>
  <c r="N104" i="1" s="1"/>
  <c r="L85" i="1"/>
  <c r="L104" i="1" s="1"/>
  <c r="K85" i="1"/>
  <c r="K104" i="1" s="1"/>
  <c r="J85" i="1"/>
  <c r="J104" i="1" s="1"/>
  <c r="I85" i="1"/>
  <c r="I104" i="1" s="1"/>
  <c r="H85" i="1"/>
  <c r="H104" i="1" s="1"/>
  <c r="N84" i="1"/>
  <c r="M84" i="1"/>
  <c r="L84" i="1"/>
  <c r="K84" i="1"/>
  <c r="J84" i="1"/>
  <c r="I84" i="1"/>
  <c r="H84" i="1"/>
  <c r="N83" i="1"/>
  <c r="M83" i="1"/>
  <c r="L83" i="1"/>
  <c r="K83" i="1"/>
  <c r="J83" i="1"/>
  <c r="I83" i="1"/>
  <c r="H83" i="1"/>
  <c r="N82" i="1"/>
  <c r="M82" i="1"/>
  <c r="L82" i="1"/>
  <c r="K82" i="1"/>
  <c r="J82" i="1"/>
  <c r="I82" i="1"/>
  <c r="H82" i="1"/>
  <c r="N81" i="1"/>
  <c r="M81" i="1"/>
  <c r="L81" i="1"/>
  <c r="K81" i="1"/>
  <c r="J81" i="1"/>
  <c r="I81" i="1"/>
  <c r="H81" i="1"/>
  <c r="N80" i="1"/>
  <c r="M80" i="1"/>
  <c r="L80" i="1"/>
  <c r="K80" i="1"/>
  <c r="J80" i="1"/>
  <c r="I80" i="1"/>
  <c r="H80" i="1"/>
  <c r="I92" i="1" l="1"/>
  <c r="M92" i="1"/>
  <c r="N92" i="1"/>
  <c r="K92" i="1"/>
  <c r="J92" i="1"/>
  <c r="I79" i="1"/>
  <c r="M79" i="1"/>
  <c r="H92" i="1"/>
  <c r="L92" i="1"/>
  <c r="I103" i="1"/>
  <c r="M103" i="1"/>
  <c r="J79" i="1"/>
  <c r="N79" i="1"/>
  <c r="N103" i="1" s="1"/>
  <c r="K79" i="1"/>
  <c r="L109" i="1"/>
  <c r="L79" i="1"/>
  <c r="H79" i="1"/>
  <c r="C73" i="1"/>
  <c r="D73" i="1"/>
  <c r="E73" i="1"/>
  <c r="F73" i="1"/>
  <c r="C74" i="1"/>
  <c r="D74" i="1"/>
  <c r="E74" i="1"/>
  <c r="F74" i="1"/>
  <c r="H103" i="1" l="1"/>
  <c r="J103" i="1"/>
  <c r="K103" i="1"/>
  <c r="L103" i="1"/>
  <c r="G68" i="1"/>
  <c r="L67" i="1"/>
  <c r="K67" i="1"/>
  <c r="J67" i="1"/>
  <c r="I67" i="1"/>
  <c r="N57" i="1"/>
  <c r="M57" i="1"/>
  <c r="G56" i="1"/>
  <c r="F56" i="1"/>
  <c r="E56" i="1"/>
  <c r="D56" i="1"/>
  <c r="C56" i="1"/>
  <c r="G52" i="1"/>
  <c r="F52" i="1"/>
  <c r="E52" i="1"/>
  <c r="D52" i="1"/>
  <c r="C52" i="1"/>
  <c r="N50" i="1"/>
  <c r="N52" i="1" s="1"/>
  <c r="M50" i="1"/>
  <c r="M52" i="1" s="1"/>
  <c r="L50" i="1"/>
  <c r="L52" i="1" s="1"/>
  <c r="H50" i="1"/>
  <c r="K49" i="1"/>
  <c r="K50" i="1" s="1"/>
  <c r="K52" i="1" s="1"/>
  <c r="J49" i="1"/>
  <c r="J50" i="1" s="1"/>
  <c r="J52" i="1" s="1"/>
  <c r="I49" i="1"/>
  <c r="I50" i="1" s="1"/>
  <c r="I52" i="1" s="1"/>
  <c r="G76" i="1"/>
  <c r="F76" i="1"/>
  <c r="E76" i="1"/>
  <c r="D76" i="1"/>
  <c r="C76" i="1"/>
  <c r="N41" i="1"/>
  <c r="M41" i="1"/>
  <c r="K41" i="1"/>
  <c r="K97" i="1" s="1"/>
  <c r="J41" i="1"/>
  <c r="J97" i="1" s="1"/>
  <c r="I41" i="1"/>
  <c r="H41" i="1"/>
  <c r="N40" i="1"/>
  <c r="N97" i="1" s="1"/>
  <c r="M40" i="1"/>
  <c r="I40" i="1"/>
  <c r="I97" i="1" s="1"/>
  <c r="L34" i="1"/>
  <c r="N31" i="1"/>
  <c r="M31" i="1"/>
  <c r="L31" i="1"/>
  <c r="L29" i="1" s="1"/>
  <c r="N30" i="1"/>
  <c r="K29" i="1"/>
  <c r="J29" i="1"/>
  <c r="I29" i="1"/>
  <c r="H29" i="1"/>
  <c r="G29" i="1"/>
  <c r="G90" i="1" s="1"/>
  <c r="F29" i="1"/>
  <c r="F90" i="1" s="1"/>
  <c r="E29" i="1"/>
  <c r="E90" i="1" s="1"/>
  <c r="D29" i="1"/>
  <c r="C29" i="1"/>
  <c r="C90" i="1" s="1"/>
  <c r="N27" i="1"/>
  <c r="N25" i="1" s="1"/>
  <c r="M27" i="1"/>
  <c r="M25" i="1" s="1"/>
  <c r="L25" i="1"/>
  <c r="L89" i="1" s="1"/>
  <c r="L107" i="1" s="1"/>
  <c r="K25" i="1"/>
  <c r="J25" i="1"/>
  <c r="I25" i="1"/>
  <c r="H25" i="1"/>
  <c r="G25" i="1"/>
  <c r="F25" i="1"/>
  <c r="E25" i="1"/>
  <c r="D25" i="1"/>
  <c r="D89" i="1" s="1"/>
  <c r="C25" i="1"/>
  <c r="M19" i="1"/>
  <c r="N12" i="1"/>
  <c r="L12" i="1"/>
  <c r="K12" i="1"/>
  <c r="J12" i="1"/>
  <c r="I12" i="1"/>
  <c r="H12" i="1"/>
  <c r="N10" i="1"/>
  <c r="N7" i="1" s="1"/>
  <c r="M10" i="1"/>
  <c r="M7" i="1" s="1"/>
  <c r="L7" i="1"/>
  <c r="K7" i="1"/>
  <c r="J7" i="1"/>
  <c r="I7" i="1"/>
  <c r="I78" i="1" s="1"/>
  <c r="H7" i="1"/>
  <c r="G7" i="1"/>
  <c r="F7" i="1"/>
  <c r="F22" i="1" s="1"/>
  <c r="E7" i="1"/>
  <c r="E78" i="1" s="1"/>
  <c r="D7" i="1"/>
  <c r="C7" i="1"/>
  <c r="C78" i="1" s="1"/>
  <c r="H34" i="1" l="1"/>
  <c r="H97" i="1"/>
  <c r="I109" i="1"/>
  <c r="M97" i="1"/>
  <c r="J109" i="1"/>
  <c r="I86" i="1"/>
  <c r="I102" i="1"/>
  <c r="I105" i="1" s="1"/>
  <c r="N109" i="1"/>
  <c r="K109" i="1"/>
  <c r="M12" i="1"/>
  <c r="M22" i="1" s="1"/>
  <c r="M85" i="1"/>
  <c r="M104" i="1" s="1"/>
  <c r="K90" i="1"/>
  <c r="K108" i="1" s="1"/>
  <c r="I90" i="1"/>
  <c r="I108" i="1" s="1"/>
  <c r="J90" i="1"/>
  <c r="J108" i="1" s="1"/>
  <c r="H52" i="1"/>
  <c r="K56" i="1"/>
  <c r="G73" i="1"/>
  <c r="G74" i="1"/>
  <c r="I34" i="1"/>
  <c r="I43" i="1" s="1"/>
  <c r="N29" i="1"/>
  <c r="I22" i="1"/>
  <c r="J22" i="1"/>
  <c r="E89" i="1"/>
  <c r="E91" i="1" s="1"/>
  <c r="N34" i="1"/>
  <c r="I89" i="1"/>
  <c r="I107" i="1" s="1"/>
  <c r="E22" i="1"/>
  <c r="C43" i="1"/>
  <c r="G43" i="1"/>
  <c r="M29" i="1"/>
  <c r="M34" i="1"/>
  <c r="M89" i="1"/>
  <c r="M107" i="1" s="1"/>
  <c r="J56" i="1"/>
  <c r="M78" i="1"/>
  <c r="N56" i="1"/>
  <c r="N78" i="1"/>
  <c r="N22" i="1"/>
  <c r="L43" i="1"/>
  <c r="C22" i="1"/>
  <c r="G22" i="1"/>
  <c r="K22" i="1"/>
  <c r="J34" i="1"/>
  <c r="J43" i="1" s="1"/>
  <c r="E43" i="1"/>
  <c r="F89" i="1"/>
  <c r="F91" i="1" s="1"/>
  <c r="J89" i="1"/>
  <c r="N89" i="1"/>
  <c r="N107" i="1" s="1"/>
  <c r="F78" i="1"/>
  <c r="J78" i="1"/>
  <c r="E105" i="1"/>
  <c r="D43" i="1"/>
  <c r="D22" i="1"/>
  <c r="H22" i="1"/>
  <c r="L22" i="1"/>
  <c r="K34" i="1"/>
  <c r="F43" i="1"/>
  <c r="C89" i="1"/>
  <c r="C91" i="1" s="1"/>
  <c r="G89" i="1"/>
  <c r="G91" i="1" s="1"/>
  <c r="K89" i="1"/>
  <c r="K107" i="1" s="1"/>
  <c r="G78" i="1"/>
  <c r="K78" i="1"/>
  <c r="L56" i="1"/>
  <c r="I56" i="1"/>
  <c r="H43" i="1"/>
  <c r="F53" i="1"/>
  <c r="H89" i="1"/>
  <c r="H107" i="1" s="1"/>
  <c r="D90" i="1"/>
  <c r="D91" i="1" s="1"/>
  <c r="H90" i="1"/>
  <c r="H108" i="1" s="1"/>
  <c r="L90" i="1"/>
  <c r="D78" i="1"/>
  <c r="H78" i="1"/>
  <c r="L78" i="1"/>
  <c r="C105" i="1"/>
  <c r="M56" i="1"/>
  <c r="C53" i="1"/>
  <c r="G53" i="1"/>
  <c r="D53" i="1"/>
  <c r="E53" i="1"/>
  <c r="K110" i="1" l="1"/>
  <c r="J98" i="1"/>
  <c r="J99" i="1" s="1"/>
  <c r="I87" i="1"/>
  <c r="I98" i="1"/>
  <c r="I99" i="1" s="1"/>
  <c r="H86" i="1"/>
  <c r="H87" i="1" s="1"/>
  <c r="H102" i="1"/>
  <c r="H105" i="1" s="1"/>
  <c r="J91" i="1"/>
  <c r="J107" i="1"/>
  <c r="J110" i="1" s="1"/>
  <c r="H109" i="1"/>
  <c r="H110" i="1" s="1"/>
  <c r="H98" i="1"/>
  <c r="H99" i="1" s="1"/>
  <c r="N86" i="1"/>
  <c r="N87" i="1" s="1"/>
  <c r="N102" i="1"/>
  <c r="N105" i="1" s="1"/>
  <c r="M86" i="1"/>
  <c r="M102" i="1"/>
  <c r="M105" i="1" s="1"/>
  <c r="I110" i="1"/>
  <c r="M109" i="1"/>
  <c r="L86" i="1"/>
  <c r="L87" i="1" s="1"/>
  <c r="L102" i="1"/>
  <c r="L105" i="1" s="1"/>
  <c r="K86" i="1"/>
  <c r="K102" i="1"/>
  <c r="K105" i="1" s="1"/>
  <c r="J86" i="1"/>
  <c r="J87" i="1" s="1"/>
  <c r="J102" i="1"/>
  <c r="J105" i="1" s="1"/>
  <c r="L91" i="1"/>
  <c r="L108" i="1"/>
  <c r="L110" i="1" s="1"/>
  <c r="L98" i="1"/>
  <c r="L99" i="1" s="1"/>
  <c r="K98" i="1"/>
  <c r="K99" i="1" s="1"/>
  <c r="K87" i="1"/>
  <c r="K91" i="1"/>
  <c r="H56" i="1"/>
  <c r="I91" i="1"/>
  <c r="M87" i="1"/>
  <c r="K58" i="1"/>
  <c r="N90" i="1"/>
  <c r="M90" i="1"/>
  <c r="M108" i="1" s="1"/>
  <c r="O56" i="1"/>
  <c r="I44" i="1"/>
  <c r="N43" i="1"/>
  <c r="J44" i="1"/>
  <c r="M43" i="1"/>
  <c r="M91" i="1"/>
  <c r="D105" i="1"/>
  <c r="I58" i="1"/>
  <c r="L44" i="1"/>
  <c r="J58" i="1"/>
  <c r="M58" i="1"/>
  <c r="H91" i="1"/>
  <c r="H44" i="1"/>
  <c r="L58" i="1"/>
  <c r="G105" i="1"/>
  <c r="F105" i="1"/>
  <c r="K43" i="1"/>
  <c r="K44" i="1" s="1"/>
  <c r="N58" i="1"/>
  <c r="M110" i="1" l="1"/>
  <c r="N91" i="1"/>
  <c r="N108" i="1"/>
  <c r="N110" i="1" s="1"/>
  <c r="N98" i="1"/>
  <c r="N99" i="1" s="1"/>
  <c r="K62" i="1"/>
  <c r="M98" i="1"/>
  <c r="M99" i="1" s="1"/>
  <c r="H58" i="1"/>
  <c r="N44" i="1"/>
  <c r="M44" i="1"/>
  <c r="N62" i="1"/>
  <c r="L62" i="1"/>
  <c r="M62" i="1"/>
  <c r="J62" i="1"/>
  <c r="I62" i="1"/>
  <c r="H62" i="1" l="1"/>
  <c r="K64" i="1"/>
  <c r="K68" i="1" s="1"/>
  <c r="K73" i="1" s="1"/>
  <c r="N64" i="1"/>
  <c r="N68" i="1" s="1"/>
  <c r="J64" i="1"/>
  <c r="J68" i="1" s="1"/>
  <c r="L64" i="1"/>
  <c r="L68" i="1" s="1"/>
  <c r="H64" i="1"/>
  <c r="H68" i="1" s="1"/>
  <c r="I64" i="1"/>
  <c r="I68" i="1" s="1"/>
  <c r="M64" i="1"/>
  <c r="M68" i="1" s="1"/>
  <c r="K74" i="1" l="1"/>
  <c r="J73" i="1"/>
  <c r="J74" i="1"/>
  <c r="N73" i="1"/>
  <c r="N74" i="1"/>
  <c r="L73" i="1"/>
  <c r="L74" i="1"/>
  <c r="M73" i="1"/>
  <c r="M74" i="1"/>
  <c r="H73" i="1"/>
  <c r="H74" i="1"/>
  <c r="I73" i="1"/>
  <c r="I74" i="1"/>
</calcChain>
</file>

<file path=xl/sharedStrings.xml><?xml version="1.0" encoding="utf-8"?>
<sst xmlns="http://schemas.openxmlformats.org/spreadsheetml/2006/main" count="229" uniqueCount="163">
  <si>
    <t>CIPAN - COMPANHIA INDUSTRIAL PRODUTORA DE ANTIBIÓTICOS, S.A.</t>
  </si>
  <si>
    <t>Unconsolidated</t>
  </si>
  <si>
    <t>31/12/2015
EUR</t>
  </si>
  <si>
    <t>31/12/2014
EUR</t>
  </si>
  <si>
    <t>31/12/2013
EUR</t>
  </si>
  <si>
    <t>31/12/2012
EUR</t>
  </si>
  <si>
    <t>31/12/2011
EUR</t>
  </si>
  <si>
    <t>31/12/2010
EUR</t>
  </si>
  <si>
    <t>31/12/2009
EUR</t>
  </si>
  <si>
    <t>31/12/2008
EUR</t>
  </si>
  <si>
    <t>31/12/2007
EUR</t>
  </si>
  <si>
    <t>31/12/2006
EUR</t>
  </si>
  <si>
    <t xml:space="preserve">  P/L before tax</t>
  </si>
  <si>
    <t xml:space="preserve">  Shareholders funds</t>
  </si>
  <si>
    <t>n.a.</t>
  </si>
  <si>
    <t xml:space="preserve">  Number of employees</t>
  </si>
  <si>
    <t>Balance sheet</t>
  </si>
  <si>
    <t>Assets</t>
  </si>
  <si>
    <t xml:space="preserve">   - Intangible fixed assets</t>
  </si>
  <si>
    <t xml:space="preserve">   - Tangible fixed assets</t>
  </si>
  <si>
    <t xml:space="preserve">   - Other fixed assets</t>
  </si>
  <si>
    <t xml:space="preserve">   - Other current assets</t>
  </si>
  <si>
    <t xml:space="preserve">  TOTAL ASSETS</t>
  </si>
  <si>
    <t>Liabilities &amp; Equity</t>
  </si>
  <si>
    <t xml:space="preserve">   - Capital</t>
  </si>
  <si>
    <t xml:space="preserve">  Non-current liabilities</t>
  </si>
  <si>
    <t xml:space="preserve">   - Other non-current liabilities</t>
  </si>
  <si>
    <t xml:space="preserve">  Current liabilities</t>
  </si>
  <si>
    <t xml:space="preserve">   - Other current liabilities</t>
  </si>
  <si>
    <t>Profit &amp; loss account</t>
  </si>
  <si>
    <t xml:space="preserve">  Gross profit</t>
  </si>
  <si>
    <t xml:space="preserve">  Operating P/L [=EBIT]</t>
  </si>
  <si>
    <t xml:space="preserve">  Financial revenue</t>
  </si>
  <si>
    <t xml:space="preserve">  Financial expenses</t>
  </si>
  <si>
    <t xml:space="preserve">  Taxation</t>
  </si>
  <si>
    <t xml:space="preserve">  P/L after tax</t>
  </si>
  <si>
    <t xml:space="preserve">  P/L for period [=Net income]</t>
  </si>
  <si>
    <t xml:space="preserve">  Memo lines</t>
  </si>
  <si>
    <t xml:space="preserve">  Material costs</t>
  </si>
  <si>
    <t xml:space="preserve">  Depreciation &amp; Amortization</t>
  </si>
  <si>
    <t xml:space="preserve">  Added value</t>
  </si>
  <si>
    <t xml:space="preserve">  EBITDA</t>
  </si>
  <si>
    <t>Balanço</t>
  </si>
  <si>
    <t>Ativos</t>
  </si>
  <si>
    <t>Ativos fixos (não correntes)</t>
  </si>
  <si>
    <t>- Ativos fixos tangíveis</t>
  </si>
  <si>
    <t>- Outros ativos fixos</t>
  </si>
  <si>
    <t>Ativos correntes (circulante)</t>
  </si>
  <si>
    <t>- Inventários (Existências)</t>
  </si>
  <si>
    <t>- Caixa e equivalentes</t>
  </si>
  <si>
    <t>TOTAL DOS ATIVOS</t>
  </si>
  <si>
    <t>Passivo e Capital Próprio</t>
  </si>
  <si>
    <t>Capital próprio</t>
  </si>
  <si>
    <t>- Capital social</t>
  </si>
  <si>
    <t>- Reservas e lucros</t>
  </si>
  <si>
    <t>Passivo não corrente (longo prazo)</t>
  </si>
  <si>
    <t>- Dívida financeira de M/L prazo</t>
  </si>
  <si>
    <t>- Provisões</t>
  </si>
  <si>
    <t>Passivo corrente (circulante)</t>
  </si>
  <si>
    <t>- Financiamento bancário</t>
  </si>
  <si>
    <t>CAPITAL PRÓPRIO E PASSIVO</t>
  </si>
  <si>
    <t>Equity</t>
  </si>
  <si>
    <t>Long-term loans</t>
  </si>
  <si>
    <t>Passivo não corrente</t>
  </si>
  <si>
    <t>Long term capital</t>
  </si>
  <si>
    <t>Capital permanente</t>
  </si>
  <si>
    <t>Fixed assets</t>
  </si>
  <si>
    <t>Ativo fixo</t>
  </si>
  <si>
    <t>Working capital requirements</t>
  </si>
  <si>
    <t>Necessidades em fundo de maneio</t>
  </si>
  <si>
    <t>Invested capital</t>
  </si>
  <si>
    <t>Capital investido</t>
  </si>
  <si>
    <t>Numero de empregados</t>
  </si>
  <si>
    <t>Consumo de materiais</t>
  </si>
  <si>
    <t>Fornecimentos e serviços externos</t>
  </si>
  <si>
    <t>Custos com pessoal</t>
  </si>
  <si>
    <t>EBITDA</t>
  </si>
  <si>
    <t>Resultado operacional</t>
  </si>
  <si>
    <t>Ganhos financeiros</t>
  </si>
  <si>
    <t>Gastos financeiros</t>
  </si>
  <si>
    <t>Resultados antes de impostos</t>
  </si>
  <si>
    <t>Impostos sobre lucros</t>
  </si>
  <si>
    <t>Ganhos extraordinarios</t>
  </si>
  <si>
    <t>Perdas extraordinárias</t>
  </si>
  <si>
    <t>Resultados extraordinarios</t>
  </si>
  <si>
    <t>Resultados líquidos</t>
  </si>
  <si>
    <t>Margem  bruta</t>
  </si>
  <si>
    <t xml:space="preserve">  Net financial expenses</t>
  </si>
  <si>
    <t>Gastos financeiros liquidos</t>
  </si>
  <si>
    <t>Linhas memo</t>
  </si>
  <si>
    <t>Autofinanciamento bruto</t>
  </si>
  <si>
    <t>Valor acrescentado</t>
  </si>
  <si>
    <t xml:space="preserve">  Cash earnings</t>
  </si>
  <si>
    <t>- Ativos fixos intangíveis</t>
  </si>
  <si>
    <t>- Clientes</t>
  </si>
  <si>
    <t>- Adiantamentos a fornecedores</t>
  </si>
  <si>
    <t>- Estado e OEP</t>
  </si>
  <si>
    <t>- Acionistas</t>
  </si>
  <si>
    <t>- Diferimentos</t>
  </si>
  <si>
    <t>- Fornecedores</t>
  </si>
  <si>
    <t>- Adiantamentos de clientes</t>
  </si>
  <si>
    <t>Outros rendimentos</t>
  </si>
  <si>
    <t xml:space="preserve">   Volume de negócios</t>
  </si>
  <si>
    <t>Outras perdas operacionais</t>
  </si>
  <si>
    <t>Resultados liquidos recorrentes</t>
  </si>
  <si>
    <t>Variação da produção</t>
  </si>
  <si>
    <t>31/12/2016
EUR</t>
  </si>
  <si>
    <t>31/12/2017
EUR</t>
  </si>
  <si>
    <t>- Outros créditos a receber</t>
  </si>
  <si>
    <t>- Outras dívidas a pagar</t>
  </si>
  <si>
    <t>Vendas e prestações de serviços</t>
  </si>
  <si>
    <t>Amortizações, provisões e imparidades</t>
  </si>
  <si>
    <t>- Inventories</t>
  </si>
  <si>
    <t>Current assets</t>
  </si>
  <si>
    <t>- Advances from suppliers</t>
  </si>
  <si>
    <t>- Shareholders</t>
  </si>
  <si>
    <t xml:space="preserve">   - Other debtors</t>
  </si>
  <si>
    <t xml:space="preserve">   - Reserves and Retained Earnings + current year</t>
  </si>
  <si>
    <t>- Provisions</t>
  </si>
  <si>
    <t>- Advances from customers</t>
  </si>
  <si>
    <t xml:space="preserve">- State accounts payable </t>
  </si>
  <si>
    <t>- State accounts receivable</t>
  </si>
  <si>
    <t>- Trade payables</t>
  </si>
  <si>
    <t xml:space="preserve">   - Long term borrowings</t>
  </si>
  <si>
    <t>- Short term borrowings</t>
  </si>
  <si>
    <t>- Trade receivables</t>
  </si>
  <si>
    <t>- Operational deferred assets</t>
  </si>
  <si>
    <t>- Operational Accruals</t>
  </si>
  <si>
    <t>- Shareholder's loans</t>
  </si>
  <si>
    <t xml:space="preserve">  TOTAL SHAREHOLDERS FUNDS &amp; LIABILITIES</t>
  </si>
  <si>
    <t>Managerial Balance Sheet</t>
  </si>
  <si>
    <t>Operational assets</t>
  </si>
  <si>
    <t>Production variance</t>
  </si>
  <si>
    <t>Other revenues</t>
  </si>
  <si>
    <t>Sales</t>
  </si>
  <si>
    <t>Total Revenues</t>
  </si>
  <si>
    <t>Supplies and Services</t>
  </si>
  <si>
    <t>Personnel expenses</t>
  </si>
  <si>
    <t>Other operational expenses</t>
  </si>
  <si>
    <t xml:space="preserve">  Extraordinary and other revenue</t>
  </si>
  <si>
    <t xml:space="preserve">  Extrordinary and other expenses</t>
  </si>
  <si>
    <t xml:space="preserve">  Extraordinary and other P/L</t>
  </si>
  <si>
    <t>Cash &amp; Equivalentes</t>
  </si>
  <si>
    <t>Ativo cíclico</t>
  </si>
  <si>
    <t>Total Assets</t>
  </si>
  <si>
    <t>Ativo total</t>
  </si>
  <si>
    <t>Operational liabilities</t>
  </si>
  <si>
    <t>Passivo cíclico</t>
  </si>
  <si>
    <t>Short term loans</t>
  </si>
  <si>
    <t>Liabilities</t>
  </si>
  <si>
    <t>Passivo</t>
  </si>
  <si>
    <t>Capital próprio e passivo</t>
  </si>
  <si>
    <t>Equity and liabilities</t>
  </si>
  <si>
    <t>Balance Sheet Restructured</t>
  </si>
  <si>
    <t>Equity and Liabilities</t>
  </si>
  <si>
    <t>Balanço funcional</t>
  </si>
  <si>
    <t>Cash &amp; equivalents</t>
  </si>
  <si>
    <t>Tesouraria ativa</t>
  </si>
  <si>
    <t>Tesouraria passiva</t>
  </si>
  <si>
    <t>Long term loans</t>
  </si>
  <si>
    <t>Capital Employed</t>
  </si>
  <si>
    <t>Passivo de m/l prazo</t>
  </si>
  <si>
    <t>Capital Obtido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</si>
</sst>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0"/>
  </numFmts>
  <fonts count="1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.5"/>
      <color rgb="FF333333"/>
      <name val="Verdana"/>
      <family val="2"/>
    </font>
    <font>
      <b/>
      <sz val="8.5"/>
      <color rgb="FF333333"/>
      <name val="Verdana"/>
      <family val="2"/>
    </font>
    <font>
      <sz val="8.5"/>
      <color rgb="FF000000"/>
      <name val="Verdana"/>
      <family val="2"/>
    </font>
    <font>
      <sz val="11"/>
      <color rgb="FF000000"/>
      <name val="Calibri"/>
      <family val="2"/>
    </font>
    <font>
      <b/>
      <sz val="8.5"/>
      <color indexed="63"/>
      <name val="Verdana"/>
      <family val="2"/>
    </font>
    <font>
      <sz val="8.5"/>
      <color indexed="8"/>
      <name val="Verdana"/>
      <family val="2"/>
    </font>
    <font>
      <sz val="8.5"/>
      <color indexed="63"/>
      <name val="Verdana"/>
      <family val="2"/>
    </font>
    <font>
      <i/>
      <sz val="8.5"/>
      <color indexed="8"/>
      <name val="Verdana"/>
      <family val="2"/>
    </font>
    <font>
      <b/>
      <sz val="11"/>
      <color rgb="FF000000"/>
      <name val="Calibri"/>
      <family val="2"/>
    </font>
    <font>
      <sz val="10"/>
      <color theme="1"/>
      <name val="Calibri Light"/>
      <family val="2"/>
    </font>
    <font>
      <sz val="11"/>
      <color rgb="FFFF0000"/>
      <name val="Calibri"/>
      <family val="2"/>
    </font>
    <font>
      <sz val="8.5"/>
      <color rgb="FFFF0000"/>
      <name val="Verdana"/>
      <family val="2"/>
    </font>
    <font>
      <sz val="8.5"/>
      <color theme="1" tint="0.14999847407452621"/>
      <name val="Verdana"/>
      <family val="2"/>
    </font>
    <font>
      <b/>
      <sz val="9"/>
      <color rgb="FF003366"/>
      <name val="Verdana"/>
      <family val="2"/>
    </font>
    <font>
      <i/>
      <sz val="8.5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6DC"/>
      </patternFill>
    </fill>
    <fill>
      <patternFill patternType="solid">
        <fgColor rgb="FFF2F2F2"/>
      </patternFill>
    </fill>
    <fill>
      <patternFill patternType="solid">
        <fgColor rgb="FFE4ECF6"/>
      </patternFill>
    </fill>
    <fill>
      <patternFill patternType="solid">
        <fgColor indexed="41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right" vertical="top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top"/>
    </xf>
    <xf numFmtId="0" fontId="0" fillId="3" borderId="1" xfId="0" applyFill="1" applyBorder="1"/>
    <xf numFmtId="0" fontId="3" fillId="3" borderId="1" xfId="0" applyFont="1" applyFill="1" applyBorder="1" applyAlignment="1">
      <alignment horizontal="left" vertical="top" wrapText="1"/>
    </xf>
    <xf numFmtId="0" fontId="0" fillId="5" borderId="1" xfId="0" applyFill="1" applyBorder="1"/>
    <xf numFmtId="0" fontId="3" fillId="5" borderId="1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7" fillId="7" borderId="2" xfId="0" quotePrefix="1" applyFont="1" applyFill="1" applyBorder="1" applyAlignment="1">
      <alignment vertical="top" wrapText="1"/>
    </xf>
    <xf numFmtId="0" fontId="0" fillId="7" borderId="2" xfId="0" applyFill="1" applyBorder="1" applyAlignment="1"/>
    <xf numFmtId="0" fontId="7" fillId="7" borderId="2" xfId="0" applyFont="1" applyFill="1" applyBorder="1" applyAlignment="1">
      <alignment horizontal="left" vertical="top" wrapText="1"/>
    </xf>
    <xf numFmtId="164" fontId="8" fillId="7" borderId="2" xfId="0" applyNumberFormat="1" applyFont="1" applyFill="1" applyBorder="1" applyAlignment="1">
      <alignment horizontal="right" vertical="top"/>
    </xf>
    <xf numFmtId="0" fontId="7" fillId="7" borderId="2" xfId="0" applyFont="1" applyFill="1" applyBorder="1" applyAlignment="1">
      <alignment horizontal="left" vertical="top" wrapText="1" indent="1"/>
    </xf>
    <xf numFmtId="164" fontId="8" fillId="7" borderId="2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vertical="top"/>
    </xf>
    <xf numFmtId="0" fontId="9" fillId="7" borderId="2" xfId="0" applyFont="1" applyFill="1" applyBorder="1" applyAlignment="1">
      <alignment vertical="top"/>
    </xf>
    <xf numFmtId="164" fontId="0" fillId="2" borderId="1" xfId="0" applyNumberFormat="1" applyFill="1" applyBorder="1"/>
    <xf numFmtId="0" fontId="3" fillId="5" borderId="1" xfId="0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right" vertical="top" wrapText="1"/>
    </xf>
    <xf numFmtId="0" fontId="10" fillId="3" borderId="1" xfId="0" applyFont="1" applyFill="1" applyBorder="1"/>
    <xf numFmtId="3" fontId="11" fillId="0" borderId="0" xfId="2" applyNumberFormat="1" applyFont="1" applyBorder="1"/>
    <xf numFmtId="164" fontId="12" fillId="2" borderId="1" xfId="0" applyNumberFormat="1" applyFont="1" applyFill="1" applyBorder="1"/>
    <xf numFmtId="164" fontId="13" fillId="7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 wrapText="1"/>
    </xf>
    <xf numFmtId="164" fontId="0" fillId="5" borderId="1" xfId="0" applyNumberFormat="1" applyFill="1" applyBorder="1"/>
    <xf numFmtId="0" fontId="14" fillId="5" borderId="1" xfId="0" applyFont="1" applyFill="1" applyBorder="1" applyAlignment="1">
      <alignment horizontal="right" vertical="top" wrapText="1"/>
    </xf>
    <xf numFmtId="164" fontId="0" fillId="0" borderId="0" xfId="0" applyNumberFormat="1"/>
    <xf numFmtId="164" fontId="2" fillId="0" borderId="1" xfId="0" applyNumberFormat="1" applyFont="1" applyFill="1" applyBorder="1" applyAlignment="1">
      <alignment horizontal="right" vertical="top"/>
    </xf>
    <xf numFmtId="9" fontId="2" fillId="2" borderId="0" xfId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 indent="1"/>
    </xf>
    <xf numFmtId="0" fontId="4" fillId="2" borderId="1" xfId="0" quotePrefix="1" applyFont="1" applyFill="1" applyBorder="1" applyAlignment="1">
      <alignment horizontal="left" vertical="top" wrapText="1" indent="1"/>
    </xf>
    <xf numFmtId="0" fontId="15" fillId="2" borderId="0" xfId="0" applyFont="1" applyFill="1" applyAlignment="1">
      <alignment horizontal="left" wrapText="1"/>
    </xf>
    <xf numFmtId="164" fontId="2" fillId="2" borderId="0" xfId="0" applyNumberFormat="1" applyFont="1" applyFill="1" applyBorder="1" applyAlignment="1">
      <alignment horizontal="right" vertical="top"/>
    </xf>
    <xf numFmtId="0" fontId="7" fillId="7" borderId="0" xfId="0" applyFont="1" applyFill="1" applyBorder="1" applyAlignment="1">
      <alignment vertical="top" wrapText="1"/>
    </xf>
    <xf numFmtId="164" fontId="8" fillId="7" borderId="0" xfId="0" applyNumberFormat="1" applyFont="1" applyFill="1" applyBorder="1" applyAlignment="1">
      <alignment horizontal="right" vertical="top" wrapText="1"/>
    </xf>
    <xf numFmtId="0" fontId="3" fillId="5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right" vertical="top" wrapText="1"/>
    </xf>
    <xf numFmtId="0" fontId="14" fillId="5" borderId="0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 indent="2"/>
    </xf>
    <xf numFmtId="0" fontId="4" fillId="2" borderId="0" xfId="0" applyFont="1" applyFill="1" applyBorder="1" applyAlignment="1">
      <alignment horizontal="left" vertical="top" wrapText="1" indent="1"/>
    </xf>
    <xf numFmtId="0" fontId="9" fillId="7" borderId="2" xfId="0" applyFont="1" applyFill="1" applyBorder="1" applyAlignment="1">
      <alignment horizontal="left" vertical="top" indent="1"/>
    </xf>
    <xf numFmtId="0" fontId="7" fillId="7" borderId="2" xfId="0" quotePrefix="1" applyFont="1" applyFill="1" applyBorder="1" applyAlignment="1">
      <alignment horizontal="left" vertical="top" wrapText="1" inden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74</xdr:row>
      <xdr:rowOff>0</xdr:rowOff>
    </xdr:from>
    <xdr:ext cx="10192" cy="11430"/>
    <xdr:pic>
      <xdr:nvPicPr>
        <xdr:cNvPr id="4" name="Image 3" descr="799a9d41-b84f-44b7-ba31-3e3ff7855b3c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5" name="Image 4" descr="7a374006-5499-40ca-8a8d-47e44365b53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6" name="Image 5" descr="3fa44815-9775-46e3-ad7c-7a42f3cd7e1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7" name="Image 6" descr="cae93494-212a-4bee-bd1d-9c58c20bd35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8" name="Image 7" descr="5b41d1ab-46ae-4c6f-9801-1da88203a62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9" name="Image 8" descr="3ce569f7-53b3-4598-bf4a-f0a20865023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10" name="Image 9" descr="433e7b3b-e203-4dba-9e46-08f3ecc260a2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11" name="Image 10" descr="4d6a9e64-3213-4835-b87f-93c2f50c925f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12" name="Image 11" descr="a4604f71-42ef-4e3c-a562-26f81a9186b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13" name="Image 12" descr="879e05a6-c8e9-4107-986a-bf1f774a8d3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14" name="Image 13" descr="f6a8ff23-b374-4196-89f0-e7c46957f33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15" name="Image 14" descr="0a4728ae-aa62-46b8-91c7-ed04a491f46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17" name="Image 16" descr="8522b9a7-5da1-4f2c-9914-4a30aa516af4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18" name="Image 17" descr="ed811a68-a980-4beb-91f7-e161df79e02c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19" name="Image 18" descr="01bb110c-6ceb-4a6a-a6ac-3514c54e157b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20" name="Image 19" descr="82e543f9-4b7d-4346-bfb0-6dadeda73ed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21" name="Image 20" descr="d2473350-7ea1-4eac-91d1-d2a96e7a1cf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23" name="Image 22" descr="53f45a6a-dfcb-4d0d-b245-b0a04ed7b8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24" name="Image 23" descr="658b89f0-a6b3-49ce-a43e-d22623367e2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25" name="Image 24" descr="6f792e4e-6d70-4b58-b8e6-ac9c7afbfba2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26" name="Image 25" descr="2a0a68b2-213b-4d00-be2a-4abd1b4271a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28" name="Image 27" descr="ca9a96c0-8041-41cd-be75-c44e5cd52ec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29" name="Image 28" descr="a023fd94-13f7-4103-924f-36497520a47f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30" name="Image 29" descr="458878be-4fed-4105-b8cf-c7271f39f4a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31" name="Image 30" descr="f39a8932-f9f2-4ab8-b5e1-7efdd6c70b5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32" name="Image 31" descr="75ea8464-9cba-4ace-9e35-13ec64669522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33" name="Image 32" descr="59a210e0-00f7-46ed-a34c-da387112ba9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34" name="Image 33" descr="71279ff3-3f33-4228-8355-80c124f2891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35" name="Image 34" descr="e0e448ac-c992-4085-8061-de058d13486f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36" name="Image 35" descr="209524b4-a560-4b38-a115-0d9af54cded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37" name="Image 36" descr="1ba78af1-2b30-4334-ab9f-8f97e42e251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38" name="Image 37" descr="7acf056c-13c5-4920-b0f3-e395a2373d3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39" name="Image 38" descr="8399116a-f02f-43e8-bcf1-2c3d4541c0a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40" name="Image 39" descr="764125c0-dda9-44ab-83b7-157214895774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0</xdr:rowOff>
    </xdr:from>
    <xdr:ext cx="10192" cy="11430"/>
    <xdr:pic>
      <xdr:nvPicPr>
        <xdr:cNvPr id="41" name="Image 40" descr="29154af9-35e0-48ab-80cd-d9714ff828c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74</xdr:row>
      <xdr:rowOff>0</xdr:rowOff>
    </xdr:from>
    <xdr:ext cx="10192" cy="11430"/>
    <xdr:pic>
      <xdr:nvPicPr>
        <xdr:cNvPr id="42" name="Image 41" descr="bee40648-3c05-46a3-9a4c-eae6f1fbe15d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10192" cy="11430"/>
    <xdr:pic>
      <xdr:nvPicPr>
        <xdr:cNvPr id="43" name="Image 42" descr="a0a77377-4812-402c-961a-f930ae4e319c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10192" cy="11430"/>
    <xdr:pic>
      <xdr:nvPicPr>
        <xdr:cNvPr id="44" name="Image 43" descr="1d0e2ee9-808d-4f0e-9e3e-8ebc4413913b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topLeftCell="A100" workbookViewId="0">
      <pane xSplit="1" topLeftCell="B1" activePane="topRight" state="frozen"/>
      <selection pane="topRight" activeCell="A112" sqref="A112:XFD309"/>
    </sheetView>
  </sheetViews>
  <sheetFormatPr defaultRowHeight="14.5" x14ac:dyDescent="0.35"/>
  <cols>
    <col min="1" max="1" width="42" style="1" customWidth="1"/>
    <col min="2" max="2" width="35.1796875" style="1" customWidth="1"/>
    <col min="3" max="7" width="12.54296875" style="1" hidden="1" customWidth="1"/>
    <col min="8" max="12" width="10.453125" style="1" bestFit="1" customWidth="1"/>
    <col min="13" max="14" width="11.453125" style="1" bestFit="1" customWidth="1"/>
  </cols>
  <sheetData>
    <row r="1" spans="1:16" ht="31.15" customHeight="1" x14ac:dyDescent="0.35">
      <c r="A1" s="38" t="s">
        <v>0</v>
      </c>
      <c r="B1" s="38"/>
    </row>
    <row r="2" spans="1:16" ht="0" hidden="1" customHeight="1" x14ac:dyDescent="0.35"/>
    <row r="3" spans="1:16" ht="13.15" customHeight="1" x14ac:dyDescent="0.35"/>
    <row r="4" spans="1:16" ht="13.15" customHeight="1" x14ac:dyDescent="0.35">
      <c r="A4" s="26" t="s">
        <v>16</v>
      </c>
      <c r="B4" s="26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6" ht="25.15" customHeight="1" x14ac:dyDescent="0.35">
      <c r="A5" s="11" t="s">
        <v>1</v>
      </c>
      <c r="B5" s="24"/>
      <c r="C5" s="25" t="s">
        <v>11</v>
      </c>
      <c r="D5" s="25" t="s">
        <v>10</v>
      </c>
      <c r="E5" s="25" t="s">
        <v>9</v>
      </c>
      <c r="F5" s="25" t="s">
        <v>8</v>
      </c>
      <c r="G5" s="25" t="s">
        <v>7</v>
      </c>
      <c r="H5" s="25" t="s">
        <v>6</v>
      </c>
      <c r="I5" s="25" t="s">
        <v>5</v>
      </c>
      <c r="J5" s="25" t="s">
        <v>4</v>
      </c>
      <c r="K5" s="25" t="s">
        <v>3</v>
      </c>
      <c r="L5" s="25" t="s">
        <v>2</v>
      </c>
      <c r="M5" s="25" t="s">
        <v>106</v>
      </c>
      <c r="N5" s="25" t="s">
        <v>107</v>
      </c>
    </row>
    <row r="6" spans="1:16" ht="13.15" customHeight="1" x14ac:dyDescent="0.35">
      <c r="A6" s="12" t="s">
        <v>17</v>
      </c>
      <c r="B6" s="12" t="s">
        <v>43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ht="13.15" customHeight="1" x14ac:dyDescent="0.35">
      <c r="A7" s="36" t="s">
        <v>66</v>
      </c>
      <c r="B7" s="13" t="s">
        <v>44</v>
      </c>
      <c r="C7" s="7">
        <f t="shared" ref="C7:N7" si="0">SUM(C8:C10)</f>
        <v>20387594.170000002</v>
      </c>
      <c r="D7" s="7">
        <f t="shared" si="0"/>
        <v>20827848.460000001</v>
      </c>
      <c r="E7" s="7">
        <f t="shared" si="0"/>
        <v>21641434.369999997</v>
      </c>
      <c r="F7" s="7">
        <f t="shared" si="0"/>
        <v>20484145.760000002</v>
      </c>
      <c r="G7" s="7">
        <f t="shared" si="0"/>
        <v>16654396.030000001</v>
      </c>
      <c r="H7" s="7">
        <f t="shared" si="0"/>
        <v>15101738.75</v>
      </c>
      <c r="I7" s="7">
        <f t="shared" si="0"/>
        <v>15280206.189999999</v>
      </c>
      <c r="J7" s="7">
        <f t="shared" si="0"/>
        <v>14412423.98</v>
      </c>
      <c r="K7" s="7">
        <f t="shared" si="0"/>
        <v>13748345.9</v>
      </c>
      <c r="L7" s="7">
        <f t="shared" si="0"/>
        <v>12941076.66</v>
      </c>
      <c r="M7" s="7">
        <f t="shared" si="0"/>
        <v>11815611.82</v>
      </c>
      <c r="N7" s="7">
        <f t="shared" si="0"/>
        <v>12218218.800000001</v>
      </c>
    </row>
    <row r="8" spans="1:16" ht="13.15" customHeight="1" x14ac:dyDescent="0.35">
      <c r="A8" s="6" t="s">
        <v>18</v>
      </c>
      <c r="B8" s="14" t="s">
        <v>93</v>
      </c>
      <c r="C8" s="7">
        <v>535255</v>
      </c>
      <c r="D8" s="7">
        <v>1606182.12</v>
      </c>
      <c r="E8" s="7">
        <v>1833614.49</v>
      </c>
      <c r="F8" s="7">
        <v>1413653.69</v>
      </c>
      <c r="G8" s="7">
        <v>210635.1</v>
      </c>
      <c r="H8" s="7">
        <v>26335.21</v>
      </c>
      <c r="I8" s="7">
        <v>0</v>
      </c>
      <c r="J8" s="7">
        <v>3150</v>
      </c>
      <c r="K8" s="7">
        <v>3150</v>
      </c>
      <c r="L8" s="7">
        <v>6364.8</v>
      </c>
      <c r="M8" s="7">
        <v>13714.8</v>
      </c>
      <c r="N8" s="7">
        <v>0</v>
      </c>
    </row>
    <row r="9" spans="1:16" ht="13.15" customHeight="1" x14ac:dyDescent="0.35">
      <c r="A9" s="6" t="s">
        <v>19</v>
      </c>
      <c r="B9" s="14" t="s">
        <v>45</v>
      </c>
      <c r="C9" s="7">
        <v>18936032.300000001</v>
      </c>
      <c r="D9" s="7">
        <v>18878606.34</v>
      </c>
      <c r="E9" s="7">
        <v>19464759.879999999</v>
      </c>
      <c r="F9" s="7">
        <v>18802827.800000001</v>
      </c>
      <c r="G9" s="7">
        <v>16260506.460000001</v>
      </c>
      <c r="H9" s="7">
        <v>15064474.67</v>
      </c>
      <c r="I9" s="7">
        <v>14309236.52</v>
      </c>
      <c r="J9" s="7">
        <v>13558473.41</v>
      </c>
      <c r="K9" s="7">
        <v>13077572.35</v>
      </c>
      <c r="L9" s="7">
        <v>12407247.859999999</v>
      </c>
      <c r="M9" s="7">
        <v>11368717.18</v>
      </c>
      <c r="N9" s="7">
        <v>12171933.810000001</v>
      </c>
    </row>
    <row r="10" spans="1:16" ht="13.15" customHeight="1" x14ac:dyDescent="0.35">
      <c r="A10" s="6" t="s">
        <v>20</v>
      </c>
      <c r="B10" s="14" t="s">
        <v>46</v>
      </c>
      <c r="C10" s="7">
        <v>916306.87</v>
      </c>
      <c r="D10" s="7">
        <v>343060</v>
      </c>
      <c r="E10" s="7">
        <v>343060</v>
      </c>
      <c r="F10" s="7">
        <v>267664.27</v>
      </c>
      <c r="G10" s="7">
        <v>183254.47</v>
      </c>
      <c r="H10" s="7">
        <v>10928.87</v>
      </c>
      <c r="I10" s="7">
        <v>970969.67</v>
      </c>
      <c r="J10" s="7">
        <v>850800.57</v>
      </c>
      <c r="K10" s="7">
        <v>667623.55000000005</v>
      </c>
      <c r="L10" s="7">
        <v>527464</v>
      </c>
      <c r="M10" s="7">
        <f>426069.27+6225.93+884.64</f>
        <v>433179.84</v>
      </c>
      <c r="N10" s="7">
        <f>232.44+16758.07+29294.48</f>
        <v>46284.99</v>
      </c>
    </row>
    <row r="11" spans="1:16" ht="13.15" customHeight="1" x14ac:dyDescent="0.35">
      <c r="A11" s="4"/>
      <c r="B11" s="1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6" ht="13.15" customHeight="1" x14ac:dyDescent="0.35">
      <c r="A12" s="36" t="s">
        <v>113</v>
      </c>
      <c r="B12" s="13" t="s">
        <v>47</v>
      </c>
      <c r="C12" s="7">
        <v>25465998.899999999</v>
      </c>
      <c r="D12" s="7">
        <v>21950836.899999999</v>
      </c>
      <c r="E12" s="7">
        <v>19887991.98</v>
      </c>
      <c r="F12" s="7">
        <v>16266122.300000001</v>
      </c>
      <c r="G12" s="7">
        <v>13001083.800000001</v>
      </c>
      <c r="H12" s="7">
        <f>SUM(H13:H20)</f>
        <v>9854842.8590000011</v>
      </c>
      <c r="I12" s="7">
        <f t="shared" ref="I12:N12" si="1">SUM(I13:I20)</f>
        <v>9263211.75</v>
      </c>
      <c r="J12" s="7">
        <f t="shared" si="1"/>
        <v>11408585.189999999</v>
      </c>
      <c r="K12" s="7">
        <f t="shared" si="1"/>
        <v>5316545.0999999996</v>
      </c>
      <c r="L12" s="7">
        <f t="shared" si="1"/>
        <v>5398426.2000000011</v>
      </c>
      <c r="M12" s="7">
        <f t="shared" si="1"/>
        <v>5353304.0500000007</v>
      </c>
      <c r="N12" s="7">
        <f t="shared" si="1"/>
        <v>15601933.769999998</v>
      </c>
      <c r="P12" s="33"/>
    </row>
    <row r="13" spans="1:16" ht="13.15" customHeight="1" x14ac:dyDescent="0.35">
      <c r="A13" s="37" t="s">
        <v>112</v>
      </c>
      <c r="B13" s="14" t="s">
        <v>48</v>
      </c>
      <c r="C13" s="7">
        <v>10843478.699999999</v>
      </c>
      <c r="D13" s="7">
        <v>11269901.529999999</v>
      </c>
      <c r="E13" s="7">
        <v>9104961.5600000005</v>
      </c>
      <c r="F13" s="7">
        <v>7530828.4699999997</v>
      </c>
      <c r="G13" s="7">
        <v>7590540.4800000004</v>
      </c>
      <c r="H13" s="7">
        <v>6004667.0800000001</v>
      </c>
      <c r="I13" s="7">
        <v>5938078.25</v>
      </c>
      <c r="J13" s="7">
        <v>6161100.6399999997</v>
      </c>
      <c r="K13" s="7">
        <v>1642494.41</v>
      </c>
      <c r="L13" s="7">
        <v>1314131.6000000001</v>
      </c>
      <c r="M13" s="34">
        <v>2106889.9900000002</v>
      </c>
      <c r="N13" s="7">
        <v>8132913.0199999996</v>
      </c>
    </row>
    <row r="14" spans="1:16" ht="12.75" customHeight="1" x14ac:dyDescent="0.35">
      <c r="A14" s="37" t="s">
        <v>114</v>
      </c>
      <c r="B14" s="14" t="s">
        <v>95</v>
      </c>
      <c r="C14" s="7"/>
      <c r="D14" s="7"/>
      <c r="E14" s="7"/>
      <c r="F14" s="7"/>
      <c r="G14" s="7"/>
      <c r="H14" s="7">
        <v>15702.24</v>
      </c>
      <c r="I14" s="7">
        <v>815.79</v>
      </c>
      <c r="J14" s="7">
        <v>3190.54</v>
      </c>
      <c r="K14" s="7">
        <v>43355.85</v>
      </c>
      <c r="L14" s="7">
        <v>12821.34</v>
      </c>
      <c r="M14" s="34">
        <v>23420.080000000002</v>
      </c>
      <c r="N14" s="7">
        <v>0</v>
      </c>
    </row>
    <row r="15" spans="1:16" ht="13.15" customHeight="1" x14ac:dyDescent="0.35">
      <c r="A15" s="37" t="s">
        <v>125</v>
      </c>
      <c r="B15" s="14" t="s">
        <v>94</v>
      </c>
      <c r="C15" s="7"/>
      <c r="D15" s="7"/>
      <c r="E15" s="7"/>
      <c r="F15" s="7"/>
      <c r="G15" s="7"/>
      <c r="H15" s="7">
        <v>2512652.0499999998</v>
      </c>
      <c r="I15" s="7">
        <v>1785833.8</v>
      </c>
      <c r="J15" s="7">
        <v>2771471.18</v>
      </c>
      <c r="K15" s="7">
        <v>1970961.1</v>
      </c>
      <c r="L15" s="7">
        <v>1156814.75</v>
      </c>
      <c r="M15" s="34">
        <v>1667750.51</v>
      </c>
      <c r="N15" s="7">
        <v>3812140.1</v>
      </c>
    </row>
    <row r="16" spans="1:16" ht="13.15" customHeight="1" x14ac:dyDescent="0.35">
      <c r="A16" s="37" t="s">
        <v>121</v>
      </c>
      <c r="B16" s="14" t="s">
        <v>96</v>
      </c>
      <c r="C16" s="7"/>
      <c r="D16" s="7"/>
      <c r="E16" s="7"/>
      <c r="F16" s="7"/>
      <c r="G16" s="7"/>
      <c r="H16" s="7">
        <v>256266.51</v>
      </c>
      <c r="I16" s="7">
        <v>452046.61</v>
      </c>
      <c r="J16" s="7">
        <v>399501.42</v>
      </c>
      <c r="K16" s="7">
        <v>657424.14</v>
      </c>
      <c r="L16" s="7">
        <v>475018.45</v>
      </c>
      <c r="M16" s="34">
        <v>529268.73</v>
      </c>
      <c r="N16" s="7">
        <v>732126.59</v>
      </c>
    </row>
    <row r="17" spans="1:14" ht="13.15" customHeight="1" x14ac:dyDescent="0.35">
      <c r="A17" s="37" t="s">
        <v>126</v>
      </c>
      <c r="B17" s="14" t="s">
        <v>98</v>
      </c>
      <c r="C17" s="7"/>
      <c r="D17" s="7"/>
      <c r="E17" s="7"/>
      <c r="F17" s="7"/>
      <c r="G17" s="7"/>
      <c r="H17" s="7">
        <v>337951.84</v>
      </c>
      <c r="I17" s="7">
        <v>400621.59</v>
      </c>
      <c r="J17" s="7">
        <v>1068074.6599999999</v>
      </c>
      <c r="K17" s="7">
        <v>428660.73</v>
      </c>
      <c r="L17" s="7">
        <v>34632.14</v>
      </c>
      <c r="M17" s="7">
        <v>498151.93</v>
      </c>
      <c r="N17" s="7">
        <v>2662403.34</v>
      </c>
    </row>
    <row r="18" spans="1:14" ht="13.15" customHeight="1" x14ac:dyDescent="0.35">
      <c r="A18" s="37" t="s">
        <v>115</v>
      </c>
      <c r="B18" s="14" t="s">
        <v>97</v>
      </c>
      <c r="C18" s="7"/>
      <c r="D18" s="7"/>
      <c r="E18" s="7"/>
      <c r="F18" s="7"/>
      <c r="G18" s="7"/>
      <c r="H18" s="7">
        <v>182335</v>
      </c>
      <c r="I18" s="7">
        <v>319000</v>
      </c>
      <c r="J18" s="7">
        <v>388223.93</v>
      </c>
      <c r="K18" s="7">
        <v>0</v>
      </c>
      <c r="L18" s="7">
        <v>0</v>
      </c>
      <c r="M18" s="7">
        <v>0</v>
      </c>
      <c r="N18" s="7">
        <v>0</v>
      </c>
    </row>
    <row r="19" spans="1:14" ht="13.15" customHeight="1" x14ac:dyDescent="0.35">
      <c r="A19" s="6" t="s">
        <v>116</v>
      </c>
      <c r="B19" s="14" t="s">
        <v>108</v>
      </c>
      <c r="C19" s="7">
        <v>11791893.710000001</v>
      </c>
      <c r="D19" s="7">
        <v>5341683.07</v>
      </c>
      <c r="E19" s="7">
        <v>5965183.46</v>
      </c>
      <c r="F19" s="7">
        <v>4496389.24</v>
      </c>
      <c r="G19" s="7">
        <v>5291303.5789999999</v>
      </c>
      <c r="H19" s="7">
        <v>439661.56900000013</v>
      </c>
      <c r="I19" s="7">
        <v>142634.17000000001</v>
      </c>
      <c r="J19" s="7">
        <v>215074.52</v>
      </c>
      <c r="K19" s="7">
        <v>292066.52</v>
      </c>
      <c r="L19" s="7">
        <v>397858.89</v>
      </c>
      <c r="M19" s="7">
        <f>392445.95-M14</f>
        <v>369025.87</v>
      </c>
      <c r="N19" s="7">
        <v>5633.12</v>
      </c>
    </row>
    <row r="20" spans="1:14" ht="13.15" customHeight="1" x14ac:dyDescent="0.35">
      <c r="A20" s="6" t="s">
        <v>21</v>
      </c>
      <c r="B20" s="14" t="s">
        <v>49</v>
      </c>
      <c r="C20" s="7">
        <v>2830626.49</v>
      </c>
      <c r="D20" s="7">
        <v>5339252.3</v>
      </c>
      <c r="E20" s="7">
        <v>4817846.96</v>
      </c>
      <c r="F20" s="7">
        <v>4238904.59</v>
      </c>
      <c r="G20" s="7">
        <v>119239.74</v>
      </c>
      <c r="H20" s="7">
        <v>105606.57</v>
      </c>
      <c r="I20" s="7">
        <v>224181.54</v>
      </c>
      <c r="J20" s="7">
        <v>401948.3</v>
      </c>
      <c r="K20" s="7">
        <v>281582.34999999998</v>
      </c>
      <c r="L20" s="7">
        <v>2007149.03</v>
      </c>
      <c r="M20" s="7">
        <v>158796.94</v>
      </c>
      <c r="N20" s="7">
        <v>256717.6</v>
      </c>
    </row>
    <row r="21" spans="1:14" ht="13.15" customHeight="1" x14ac:dyDescent="0.35">
      <c r="A21" s="4"/>
      <c r="B21" s="1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3.15" customHeight="1" x14ac:dyDescent="0.35">
      <c r="A22" s="6" t="s">
        <v>22</v>
      </c>
      <c r="B22" s="13" t="s">
        <v>50</v>
      </c>
      <c r="C22" s="7">
        <f t="shared" ref="C22:N22" si="2">+C7+C12</f>
        <v>45853593.07</v>
      </c>
      <c r="D22" s="7">
        <f t="shared" si="2"/>
        <v>42778685.359999999</v>
      </c>
      <c r="E22" s="7">
        <f t="shared" si="2"/>
        <v>41529426.349999994</v>
      </c>
      <c r="F22" s="7">
        <f t="shared" si="2"/>
        <v>36750268.060000002</v>
      </c>
      <c r="G22" s="7">
        <f t="shared" si="2"/>
        <v>29655479.830000002</v>
      </c>
      <c r="H22" s="7">
        <f t="shared" si="2"/>
        <v>24956581.609000001</v>
      </c>
      <c r="I22" s="7">
        <f t="shared" si="2"/>
        <v>24543417.939999998</v>
      </c>
      <c r="J22" s="7">
        <f t="shared" si="2"/>
        <v>25821009.170000002</v>
      </c>
      <c r="K22" s="7">
        <f t="shared" si="2"/>
        <v>19064891</v>
      </c>
      <c r="L22" s="7">
        <f t="shared" si="2"/>
        <v>18339502.859999999</v>
      </c>
      <c r="M22" s="7">
        <f t="shared" si="2"/>
        <v>17168915.870000001</v>
      </c>
      <c r="N22" s="7">
        <f t="shared" si="2"/>
        <v>27820152.57</v>
      </c>
    </row>
    <row r="23" spans="1:14" ht="13.15" customHeight="1" x14ac:dyDescent="0.35">
      <c r="A23" s="4"/>
      <c r="B23" s="15"/>
      <c r="C23" s="4"/>
      <c r="D23" s="4"/>
      <c r="E23" s="4"/>
      <c r="F23" s="4"/>
      <c r="G23" s="4"/>
      <c r="H23" s="4"/>
      <c r="I23" s="4"/>
      <c r="J23" s="4"/>
      <c r="K23" s="23"/>
      <c r="L23" s="23"/>
      <c r="M23" s="23"/>
      <c r="N23" s="23"/>
    </row>
    <row r="24" spans="1:14" ht="13.15" customHeight="1" x14ac:dyDescent="0.35">
      <c r="A24" s="12" t="s">
        <v>23</v>
      </c>
      <c r="B24" s="12" t="s">
        <v>51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3.15" customHeight="1" x14ac:dyDescent="0.35">
      <c r="A25" s="6" t="s">
        <v>13</v>
      </c>
      <c r="B25" s="13" t="s">
        <v>52</v>
      </c>
      <c r="C25" s="7">
        <f t="shared" ref="C25:M25" si="3">+C26+C27</f>
        <v>23691155.989</v>
      </c>
      <c r="D25" s="7">
        <f t="shared" si="3"/>
        <v>19622451.41</v>
      </c>
      <c r="E25" s="7">
        <f t="shared" si="3"/>
        <v>15480071.1</v>
      </c>
      <c r="F25" s="7">
        <f t="shared" si="3"/>
        <v>12047751.109999999</v>
      </c>
      <c r="G25" s="7">
        <f t="shared" si="3"/>
        <v>6957772.7199999997</v>
      </c>
      <c r="H25" s="7">
        <f t="shared" si="3"/>
        <v>8002503.4000000004</v>
      </c>
      <c r="I25" s="7">
        <f t="shared" si="3"/>
        <v>6508499.4500000002</v>
      </c>
      <c r="J25" s="7">
        <f t="shared" si="3"/>
        <v>5208582.08</v>
      </c>
      <c r="K25" s="7">
        <f t="shared" si="3"/>
        <v>4365520.68</v>
      </c>
      <c r="L25" s="7">
        <f t="shared" si="3"/>
        <v>7579719.8100000005</v>
      </c>
      <c r="M25" s="7">
        <f t="shared" si="3"/>
        <v>7946861.5099999998</v>
      </c>
      <c r="N25" s="7">
        <f>+N26+N27</f>
        <v>9903466.3900000006</v>
      </c>
    </row>
    <row r="26" spans="1:14" ht="13.15" customHeight="1" x14ac:dyDescent="0.35">
      <c r="A26" s="6" t="s">
        <v>24</v>
      </c>
      <c r="B26" s="14" t="s">
        <v>53</v>
      </c>
      <c r="C26" s="7">
        <v>18500000</v>
      </c>
      <c r="D26" s="7">
        <v>18500000</v>
      </c>
      <c r="E26" s="7">
        <v>18500000</v>
      </c>
      <c r="F26" s="7">
        <v>18500000</v>
      </c>
      <c r="G26" s="7">
        <v>7770000</v>
      </c>
      <c r="H26" s="7">
        <v>10269840</v>
      </c>
      <c r="I26" s="7">
        <v>10269840</v>
      </c>
      <c r="J26" s="7">
        <v>10269840</v>
      </c>
      <c r="K26" s="7">
        <v>10269840</v>
      </c>
      <c r="L26" s="7">
        <v>3667800</v>
      </c>
      <c r="M26" s="7">
        <v>3667800</v>
      </c>
      <c r="N26" s="7">
        <v>3667800</v>
      </c>
    </row>
    <row r="27" spans="1:14" ht="13.15" customHeight="1" x14ac:dyDescent="0.35">
      <c r="A27" s="6" t="s">
        <v>117</v>
      </c>
      <c r="B27" s="14" t="s">
        <v>54</v>
      </c>
      <c r="C27" s="7">
        <v>5191155.9890000001</v>
      </c>
      <c r="D27" s="7">
        <v>1122451.4099999999</v>
      </c>
      <c r="E27" s="7">
        <v>-3019928.9</v>
      </c>
      <c r="F27" s="7">
        <v>-6452248.8899999997</v>
      </c>
      <c r="G27" s="7">
        <v>-812227.28</v>
      </c>
      <c r="H27" s="7">
        <v>-2267336.6</v>
      </c>
      <c r="I27" s="7">
        <v>-3761340.55</v>
      </c>
      <c r="J27" s="7">
        <v>-5061257.92</v>
      </c>
      <c r="K27" s="7">
        <v>-5904319.3200000003</v>
      </c>
      <c r="L27" s="7">
        <v>3911919.81</v>
      </c>
      <c r="M27" s="7">
        <f>7946861.51-M26</f>
        <v>4279061.51</v>
      </c>
      <c r="N27" s="7">
        <f>9903466.39-N26</f>
        <v>6235666.3900000006</v>
      </c>
    </row>
    <row r="28" spans="1:14" ht="13.15" customHeight="1" x14ac:dyDescent="0.35">
      <c r="A28" s="4"/>
      <c r="B28" s="1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3.15" customHeight="1" x14ac:dyDescent="0.35">
      <c r="A29" s="6" t="s">
        <v>25</v>
      </c>
      <c r="B29" s="13" t="s">
        <v>55</v>
      </c>
      <c r="C29" s="7">
        <f>SUM(C30:C31)</f>
        <v>3602784.4</v>
      </c>
      <c r="D29" s="7">
        <f>SUM(D30:D31)</f>
        <v>5734887.0599999996</v>
      </c>
      <c r="E29" s="7">
        <f>SUM(E30:E31)</f>
        <v>6416231.5800000001</v>
      </c>
      <c r="F29" s="7">
        <f>SUM(F30:F31)</f>
        <v>7017929.0700000003</v>
      </c>
      <c r="G29" s="7">
        <f>SUM(G30:G31)</f>
        <v>7690564.1399999997</v>
      </c>
      <c r="H29" s="7">
        <f t="shared" ref="H29:N29" si="4">SUM(H30:H32)</f>
        <v>5749711.1100000003</v>
      </c>
      <c r="I29" s="7">
        <f t="shared" si="4"/>
        <v>5780932.0899999999</v>
      </c>
      <c r="J29" s="7">
        <f t="shared" si="4"/>
        <v>5266123.91</v>
      </c>
      <c r="K29" s="7">
        <f t="shared" si="4"/>
        <v>5113878.82</v>
      </c>
      <c r="L29" s="7">
        <f t="shared" si="4"/>
        <v>5376878.9500000002</v>
      </c>
      <c r="M29" s="7">
        <f t="shared" si="4"/>
        <v>5457304.4500000002</v>
      </c>
      <c r="N29" s="7">
        <f t="shared" si="4"/>
        <v>6106122.54</v>
      </c>
    </row>
    <row r="30" spans="1:14" ht="13.15" customHeight="1" x14ac:dyDescent="0.35">
      <c r="A30" s="6" t="s">
        <v>123</v>
      </c>
      <c r="B30" s="14" t="s">
        <v>56</v>
      </c>
      <c r="C30" s="7">
        <v>3302784.4</v>
      </c>
      <c r="D30" s="7">
        <v>5434887.0599999996</v>
      </c>
      <c r="E30" s="7">
        <v>6316231.5800000001</v>
      </c>
      <c r="F30" s="7">
        <v>6917929.0700000003</v>
      </c>
      <c r="G30" s="7">
        <v>7690564.1399999997</v>
      </c>
      <c r="H30" s="7">
        <v>5729934.8200000003</v>
      </c>
      <c r="I30" s="7">
        <v>4869250.3099999996</v>
      </c>
      <c r="J30" s="7">
        <v>4469470.51</v>
      </c>
      <c r="K30" s="7">
        <v>1980215.51</v>
      </c>
      <c r="L30" s="7">
        <v>1722068.78</v>
      </c>
      <c r="M30" s="7">
        <v>3912732.59</v>
      </c>
      <c r="N30" s="7">
        <f>2943512.91+1895542.52</f>
        <v>4839055.43</v>
      </c>
    </row>
    <row r="31" spans="1:14" ht="13.15" customHeight="1" x14ac:dyDescent="0.35">
      <c r="A31" s="6" t="s">
        <v>26</v>
      </c>
      <c r="B31" s="14" t="s">
        <v>109</v>
      </c>
      <c r="C31" s="7">
        <v>300000</v>
      </c>
      <c r="D31" s="7">
        <v>300000</v>
      </c>
      <c r="E31" s="7">
        <v>100000</v>
      </c>
      <c r="F31" s="7">
        <v>100000</v>
      </c>
      <c r="G31" s="7">
        <v>0</v>
      </c>
      <c r="H31" s="7">
        <v>19776.29</v>
      </c>
      <c r="I31" s="7">
        <v>911681.78</v>
      </c>
      <c r="J31" s="7">
        <v>796653.4</v>
      </c>
      <c r="K31" s="7">
        <v>3133663.31</v>
      </c>
      <c r="L31" s="7">
        <f>3654810.17-207573.36</f>
        <v>3447236.81</v>
      </c>
      <c r="M31" s="7">
        <f>789039+547959.5</f>
        <v>1336998.5</v>
      </c>
      <c r="N31" s="7">
        <f>746290.57+513203.18</f>
        <v>1259493.75</v>
      </c>
    </row>
    <row r="32" spans="1:14" ht="13.15" customHeight="1" x14ac:dyDescent="0.35">
      <c r="A32" s="36" t="s">
        <v>118</v>
      </c>
      <c r="B32" s="14" t="s">
        <v>57</v>
      </c>
      <c r="C32" s="5">
        <v>300000</v>
      </c>
      <c r="D32" s="5">
        <v>300000</v>
      </c>
      <c r="E32" s="7">
        <v>100000</v>
      </c>
      <c r="F32" s="7">
        <v>100000</v>
      </c>
      <c r="G32" s="5">
        <v>0</v>
      </c>
      <c r="H32" s="5" t="s">
        <v>14</v>
      </c>
      <c r="I32" s="5" t="s">
        <v>14</v>
      </c>
      <c r="J32" s="5" t="s">
        <v>14</v>
      </c>
      <c r="K32" s="5" t="s">
        <v>14</v>
      </c>
      <c r="L32" s="7">
        <v>207573.36</v>
      </c>
      <c r="M32" s="7">
        <v>207573.36</v>
      </c>
      <c r="N32" s="7">
        <v>7573.36</v>
      </c>
    </row>
    <row r="33" spans="1:14" ht="13.15" customHeight="1" x14ac:dyDescent="0.35">
      <c r="A33" s="4"/>
      <c r="B33" s="1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3.15" customHeight="1" x14ac:dyDescent="0.35">
      <c r="A34" s="6" t="s">
        <v>27</v>
      </c>
      <c r="B34" s="13" t="s">
        <v>58</v>
      </c>
      <c r="C34" s="7">
        <v>18559652.68</v>
      </c>
      <c r="D34" s="7">
        <v>17421346.890000001</v>
      </c>
      <c r="E34" s="7">
        <v>19633123.670000002</v>
      </c>
      <c r="F34" s="7">
        <v>17684587.879999999</v>
      </c>
      <c r="G34" s="7">
        <v>15007142.970000001</v>
      </c>
      <c r="H34" s="7">
        <f t="shared" ref="H34:N34" si="5">SUM(H35:H41)</f>
        <v>11204367.1</v>
      </c>
      <c r="I34" s="7">
        <f t="shared" si="5"/>
        <v>12253986.4</v>
      </c>
      <c r="J34" s="7">
        <f t="shared" si="5"/>
        <v>15346303.18</v>
      </c>
      <c r="K34" s="7">
        <f t="shared" si="5"/>
        <v>9585491.5</v>
      </c>
      <c r="L34" s="7">
        <f t="shared" si="5"/>
        <v>5382904.0999999996</v>
      </c>
      <c r="M34" s="7">
        <f t="shared" si="5"/>
        <v>3764749.8200000003</v>
      </c>
      <c r="N34" s="7">
        <f t="shared" si="5"/>
        <v>11810563.640000001</v>
      </c>
    </row>
    <row r="35" spans="1:14" ht="13.15" customHeight="1" x14ac:dyDescent="0.35">
      <c r="A35" s="37" t="s">
        <v>124</v>
      </c>
      <c r="B35" s="14" t="s">
        <v>59</v>
      </c>
      <c r="C35" s="7">
        <v>9730041.9000000004</v>
      </c>
      <c r="D35" s="7">
        <v>8399831.3900000006</v>
      </c>
      <c r="E35" s="7">
        <v>5957804.5</v>
      </c>
      <c r="F35" s="7">
        <v>5318137.76</v>
      </c>
      <c r="G35" s="7">
        <v>10098361.16</v>
      </c>
      <c r="H35" s="7">
        <v>6951333.1299999999</v>
      </c>
      <c r="I35" s="7">
        <v>7080309.0800000001</v>
      </c>
      <c r="J35" s="7">
        <v>8425341.3399999999</v>
      </c>
      <c r="K35" s="7">
        <v>771861.09</v>
      </c>
      <c r="L35" s="7">
        <v>484381.12</v>
      </c>
      <c r="M35" s="7">
        <v>1568.37</v>
      </c>
      <c r="N35" s="7">
        <v>3471765.68</v>
      </c>
    </row>
    <row r="36" spans="1:14" ht="13.15" customHeight="1" x14ac:dyDescent="0.35">
      <c r="A36" s="37" t="s">
        <v>122</v>
      </c>
      <c r="B36" s="14" t="s">
        <v>99</v>
      </c>
      <c r="C36" s="7">
        <v>3000564.5189999999</v>
      </c>
      <c r="D36" s="7">
        <v>3029618.8190000001</v>
      </c>
      <c r="E36" s="7">
        <v>8319444.5800000001</v>
      </c>
      <c r="F36" s="7">
        <v>8303385.3799999999</v>
      </c>
      <c r="G36" s="7">
        <v>3226515.37</v>
      </c>
      <c r="H36" s="7">
        <v>2733472.79</v>
      </c>
      <c r="I36" s="7">
        <v>3884188.69</v>
      </c>
      <c r="J36" s="7">
        <v>5772090.5899999999</v>
      </c>
      <c r="K36" s="7">
        <v>2193704.2000000002</v>
      </c>
      <c r="L36" s="7">
        <v>1171361.45</v>
      </c>
      <c r="M36" s="7">
        <v>949174.75</v>
      </c>
      <c r="N36" s="7">
        <v>3404814.37</v>
      </c>
    </row>
    <row r="37" spans="1:14" ht="13.15" customHeight="1" x14ac:dyDescent="0.35">
      <c r="A37" s="36" t="s">
        <v>119</v>
      </c>
      <c r="B37" s="14" t="s">
        <v>100</v>
      </c>
      <c r="C37" s="7"/>
      <c r="D37" s="7"/>
      <c r="E37" s="7"/>
      <c r="F37" s="7"/>
      <c r="G37" s="7"/>
      <c r="H37" s="7">
        <v>0</v>
      </c>
      <c r="I37" s="7">
        <v>0</v>
      </c>
      <c r="J37" s="7">
        <v>18500</v>
      </c>
      <c r="K37" s="7">
        <v>0</v>
      </c>
      <c r="L37" s="7">
        <v>0</v>
      </c>
      <c r="M37" s="7">
        <v>0</v>
      </c>
      <c r="N37" s="7">
        <v>0</v>
      </c>
    </row>
    <row r="38" spans="1:14" ht="13.15" customHeight="1" x14ac:dyDescent="0.35">
      <c r="A38" s="37" t="s">
        <v>120</v>
      </c>
      <c r="B38" s="14" t="s">
        <v>96</v>
      </c>
      <c r="C38" s="7"/>
      <c r="D38" s="7"/>
      <c r="E38" s="7"/>
      <c r="F38" s="7"/>
      <c r="G38" s="7"/>
      <c r="H38" s="7">
        <v>577493.27</v>
      </c>
      <c r="I38" s="7">
        <v>223134.97</v>
      </c>
      <c r="J38" s="7">
        <v>235672.22</v>
      </c>
      <c r="K38" s="7">
        <v>85481.26</v>
      </c>
      <c r="L38" s="7">
        <v>90418.04</v>
      </c>
      <c r="M38" s="7">
        <v>118868.26</v>
      </c>
      <c r="N38" s="7">
        <v>836297.75</v>
      </c>
    </row>
    <row r="39" spans="1:14" ht="13.15" customHeight="1" x14ac:dyDescent="0.35">
      <c r="A39" s="37" t="s">
        <v>127</v>
      </c>
      <c r="B39" s="14" t="s">
        <v>98</v>
      </c>
      <c r="C39" s="7"/>
      <c r="D39" s="7"/>
      <c r="E39" s="7"/>
      <c r="F39" s="7"/>
      <c r="G39" s="7"/>
      <c r="H39" s="7">
        <v>29563</v>
      </c>
      <c r="I39" s="7">
        <v>0</v>
      </c>
      <c r="J39" s="7">
        <v>0</v>
      </c>
      <c r="K39" s="7">
        <v>0</v>
      </c>
      <c r="L39" s="7"/>
      <c r="M39" s="7">
        <v>185552.54</v>
      </c>
      <c r="N39" s="7">
        <v>413782.45</v>
      </c>
    </row>
    <row r="40" spans="1:14" ht="13.15" customHeight="1" x14ac:dyDescent="0.35">
      <c r="A40" s="37" t="s">
        <v>128</v>
      </c>
      <c r="B40" s="14" t="s">
        <v>97</v>
      </c>
      <c r="C40" s="7"/>
      <c r="D40" s="7"/>
      <c r="E40" s="7"/>
      <c r="F40" s="7"/>
      <c r="G40" s="7"/>
      <c r="H40" s="7">
        <v>8322.51</v>
      </c>
      <c r="I40" s="7">
        <f>+H40</f>
        <v>8322.51</v>
      </c>
      <c r="J40" s="7">
        <v>10322.51</v>
      </c>
      <c r="K40" s="7">
        <v>5755576.7699999996</v>
      </c>
      <c r="L40" s="7">
        <v>2425952.54</v>
      </c>
      <c r="M40" s="7">
        <f>8278.82+960801.59</f>
        <v>969080.40999999992</v>
      </c>
      <c r="N40" s="7">
        <f>8278.82+969219.68</f>
        <v>977498.5</v>
      </c>
    </row>
    <row r="41" spans="1:14" ht="13.15" customHeight="1" x14ac:dyDescent="0.35">
      <c r="A41" s="6" t="s">
        <v>28</v>
      </c>
      <c r="B41" s="14" t="s">
        <v>109</v>
      </c>
      <c r="C41" s="7">
        <v>5829046.2599999998</v>
      </c>
      <c r="D41" s="7">
        <v>5991896.6789999995</v>
      </c>
      <c r="E41" s="7">
        <v>5355874.59</v>
      </c>
      <c r="F41" s="7">
        <v>4063064.7390000001</v>
      </c>
      <c r="G41" s="7">
        <v>1682266.44</v>
      </c>
      <c r="H41" s="7">
        <f>765214.47+138967.93</f>
        <v>904182.39999999991</v>
      </c>
      <c r="I41" s="7">
        <f>890035.34+167995.81</f>
        <v>1058031.1499999999</v>
      </c>
      <c r="J41" s="7">
        <f>773435.78+110940.74</f>
        <v>884376.52</v>
      </c>
      <c r="K41" s="7">
        <f>724287.8+54580.38</f>
        <v>778868.18</v>
      </c>
      <c r="L41" s="7">
        <v>1210790.95</v>
      </c>
      <c r="M41" s="7">
        <f>14047.09+153493.67+454804.92+918159.81</f>
        <v>1540505.49</v>
      </c>
      <c r="N41" s="7">
        <f>3481+677112.23+708033.88+1317777.78</f>
        <v>2706404.8899999997</v>
      </c>
    </row>
    <row r="42" spans="1:14" ht="13.15" customHeight="1" x14ac:dyDescent="0.35">
      <c r="A42" s="4"/>
      <c r="B42" s="1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ht="13.15" customHeight="1" x14ac:dyDescent="0.35">
      <c r="A43" s="6" t="s">
        <v>129</v>
      </c>
      <c r="B43" s="13" t="s">
        <v>60</v>
      </c>
      <c r="C43" s="7">
        <f t="shared" ref="C43:L43" si="6">+C25+C29+C34</f>
        <v>45853593.068999998</v>
      </c>
      <c r="D43" s="7">
        <f t="shared" si="6"/>
        <v>42778685.359999999</v>
      </c>
      <c r="E43" s="7">
        <f t="shared" si="6"/>
        <v>41529426.350000001</v>
      </c>
      <c r="F43" s="7">
        <f t="shared" si="6"/>
        <v>36750268.060000002</v>
      </c>
      <c r="G43" s="7">
        <f t="shared" si="6"/>
        <v>29655479.829999998</v>
      </c>
      <c r="H43" s="7">
        <f t="shared" si="6"/>
        <v>24956581.609999999</v>
      </c>
      <c r="I43" s="7">
        <f t="shared" si="6"/>
        <v>24543417.939999998</v>
      </c>
      <c r="J43" s="7">
        <f t="shared" si="6"/>
        <v>25821009.170000002</v>
      </c>
      <c r="K43" s="7">
        <f t="shared" si="6"/>
        <v>19064891</v>
      </c>
      <c r="L43" s="7">
        <f t="shared" si="6"/>
        <v>18339502.859999999</v>
      </c>
      <c r="M43" s="7">
        <f>+M25+M29+M34</f>
        <v>17168915.780000001</v>
      </c>
      <c r="N43" s="7">
        <f>+N25+N29+N34</f>
        <v>27820152.57</v>
      </c>
    </row>
    <row r="44" spans="1:14" ht="13.15" customHeight="1" x14ac:dyDescent="0.35">
      <c r="A44" s="4"/>
      <c r="B44" s="4"/>
      <c r="C44" s="4"/>
      <c r="D44" s="4"/>
      <c r="E44" s="4"/>
      <c r="F44" s="4"/>
      <c r="G44" s="4"/>
      <c r="H44" s="28">
        <f t="shared" ref="H44:N44" si="7">+H43-H22</f>
        <v>9.999983012676239E-4</v>
      </c>
      <c r="I44" s="28">
        <f t="shared" si="7"/>
        <v>0</v>
      </c>
      <c r="J44" s="28">
        <f t="shared" si="7"/>
        <v>0</v>
      </c>
      <c r="K44" s="28">
        <f t="shared" si="7"/>
        <v>0</v>
      </c>
      <c r="L44" s="28">
        <f t="shared" si="7"/>
        <v>0</v>
      </c>
      <c r="M44" s="28">
        <f t="shared" si="7"/>
        <v>-8.9999999850988388E-2</v>
      </c>
      <c r="N44" s="28">
        <f t="shared" si="7"/>
        <v>0</v>
      </c>
    </row>
    <row r="45" spans="1:14" ht="13.15" customHeight="1" x14ac:dyDescent="0.35">
      <c r="A45" s="9" t="s">
        <v>29</v>
      </c>
      <c r="B45" s="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ht="25.15" customHeight="1" x14ac:dyDescent="0.35">
      <c r="A46" s="2" t="s">
        <v>1</v>
      </c>
      <c r="B46" s="2"/>
      <c r="C46" s="3" t="s">
        <v>11</v>
      </c>
      <c r="D46" s="3" t="s">
        <v>10</v>
      </c>
      <c r="E46" s="3" t="s">
        <v>9</v>
      </c>
      <c r="F46" s="3" t="s">
        <v>8</v>
      </c>
      <c r="G46" s="3" t="s">
        <v>7</v>
      </c>
      <c r="H46" s="3" t="s">
        <v>6</v>
      </c>
      <c r="I46" s="3" t="s">
        <v>5</v>
      </c>
      <c r="J46" s="3" t="s">
        <v>4</v>
      </c>
      <c r="K46" s="3" t="s">
        <v>3</v>
      </c>
      <c r="L46" s="3" t="s">
        <v>2</v>
      </c>
      <c r="M46" s="3" t="s">
        <v>106</v>
      </c>
      <c r="N46" s="3" t="s">
        <v>107</v>
      </c>
    </row>
    <row r="47" spans="1:14" ht="13.15" customHeight="1" x14ac:dyDescent="0.35">
      <c r="A47" s="36" t="s">
        <v>134</v>
      </c>
      <c r="B47" s="21" t="s">
        <v>110</v>
      </c>
      <c r="C47" s="7">
        <v>14546903.68</v>
      </c>
      <c r="D47" s="7">
        <v>15878612.049000001</v>
      </c>
      <c r="E47" s="7">
        <v>17896182.699999999</v>
      </c>
      <c r="F47" s="7">
        <v>18915618.109999999</v>
      </c>
      <c r="G47" s="7">
        <v>20356349.23</v>
      </c>
      <c r="H47" s="7">
        <v>11525899.060000001</v>
      </c>
      <c r="I47" s="7">
        <v>15526618.130000001</v>
      </c>
      <c r="J47" s="7">
        <v>15423780.65</v>
      </c>
      <c r="K47" s="7">
        <v>14848203</v>
      </c>
      <c r="L47" s="7">
        <v>13080555.99</v>
      </c>
      <c r="M47" s="7">
        <v>11673307.039999999</v>
      </c>
      <c r="N47" s="7">
        <v>19262919.280000001</v>
      </c>
    </row>
    <row r="48" spans="1:14" ht="13.15" customHeight="1" x14ac:dyDescent="0.35">
      <c r="A48" s="36" t="s">
        <v>132</v>
      </c>
      <c r="B48" s="21" t="s">
        <v>105</v>
      </c>
      <c r="C48" s="7"/>
      <c r="D48" s="7"/>
      <c r="E48" s="7"/>
      <c r="F48" s="7"/>
      <c r="G48" s="7"/>
      <c r="H48" s="7">
        <v>286293.03999999998</v>
      </c>
      <c r="I48" s="7">
        <v>-944893.5</v>
      </c>
      <c r="J48" s="7">
        <v>458564.05</v>
      </c>
      <c r="K48" s="7">
        <v>-676297.29</v>
      </c>
      <c r="L48" s="7">
        <v>-355987.95</v>
      </c>
      <c r="M48" s="7">
        <v>69150.31</v>
      </c>
      <c r="N48" s="7">
        <v>1567771.69</v>
      </c>
    </row>
    <row r="49" spans="1:15" ht="13.15" customHeight="1" x14ac:dyDescent="0.35">
      <c r="A49" s="36" t="s">
        <v>133</v>
      </c>
      <c r="B49" s="21" t="s">
        <v>101</v>
      </c>
      <c r="C49" s="7"/>
      <c r="D49" s="7"/>
      <c r="E49" s="7"/>
      <c r="F49" s="7"/>
      <c r="G49" s="7"/>
      <c r="H49" s="7">
        <v>3482445.76</v>
      </c>
      <c r="I49" s="7">
        <f>38979.94+2004359.59</f>
        <v>2043339.53</v>
      </c>
      <c r="J49" s="7">
        <f>6688.31+1369856.45</f>
        <v>1376544.76</v>
      </c>
      <c r="K49" s="7">
        <f>9761.31+1953649.39</f>
        <v>1963410.7</v>
      </c>
      <c r="L49" s="7">
        <v>3317054.73</v>
      </c>
      <c r="M49" s="7">
        <v>529591.93000000005</v>
      </c>
      <c r="N49" s="7">
        <v>1163220.8999999999</v>
      </c>
    </row>
    <row r="50" spans="1:15" ht="13.15" customHeight="1" x14ac:dyDescent="0.35">
      <c r="A50" s="46" t="s">
        <v>135</v>
      </c>
      <c r="B50" s="22" t="s">
        <v>102</v>
      </c>
      <c r="C50" s="7"/>
      <c r="D50" s="7"/>
      <c r="E50" s="7"/>
      <c r="F50" s="7"/>
      <c r="G50" s="7"/>
      <c r="H50" s="7">
        <f t="shared" ref="H50:N50" si="8">SUM(H47:H49)</f>
        <v>15294637.859999999</v>
      </c>
      <c r="I50" s="7">
        <f t="shared" si="8"/>
        <v>16625064.16</v>
      </c>
      <c r="J50" s="7">
        <f t="shared" si="8"/>
        <v>17258889.460000001</v>
      </c>
      <c r="K50" s="7">
        <f t="shared" si="8"/>
        <v>16135316.41</v>
      </c>
      <c r="L50" s="7">
        <f t="shared" si="8"/>
        <v>16041622.770000001</v>
      </c>
      <c r="M50" s="7">
        <f t="shared" si="8"/>
        <v>12272049.279999999</v>
      </c>
      <c r="N50" s="7">
        <f t="shared" si="8"/>
        <v>21993911.870000001</v>
      </c>
    </row>
    <row r="51" spans="1:15" ht="13.15" customHeight="1" x14ac:dyDescent="0.35">
      <c r="A51" s="6" t="s">
        <v>38</v>
      </c>
      <c r="B51" s="21" t="s">
        <v>73</v>
      </c>
      <c r="C51" s="7">
        <v>5869066</v>
      </c>
      <c r="D51" s="7">
        <v>7700675.7000000002</v>
      </c>
      <c r="E51" s="7">
        <v>10291500.380000001</v>
      </c>
      <c r="F51" s="7">
        <v>12971293.27</v>
      </c>
      <c r="G51" s="7">
        <v>10744820.939999999</v>
      </c>
      <c r="H51" s="7">
        <v>6107105.7599999998</v>
      </c>
      <c r="I51" s="7">
        <v>7340974.21</v>
      </c>
      <c r="J51" s="7">
        <v>7875823.7699999996</v>
      </c>
      <c r="K51" s="7">
        <v>6992787.2599999998</v>
      </c>
      <c r="L51" s="7">
        <v>2777433.91</v>
      </c>
      <c r="M51" s="7">
        <v>2666136.15</v>
      </c>
      <c r="N51" s="7">
        <v>8868062</v>
      </c>
    </row>
    <row r="52" spans="1:15" ht="13.15" customHeight="1" x14ac:dyDescent="0.35">
      <c r="A52" s="45" t="s">
        <v>30</v>
      </c>
      <c r="B52" s="22" t="s">
        <v>86</v>
      </c>
      <c r="C52" s="20">
        <f>+C47-C51</f>
        <v>8677837.6799999997</v>
      </c>
      <c r="D52" s="20">
        <f>+D47-D51</f>
        <v>8177936.3490000004</v>
      </c>
      <c r="E52" s="20">
        <f>+E47-E51</f>
        <v>7604682.3199999984</v>
      </c>
      <c r="F52" s="20">
        <f>+F47-F51</f>
        <v>5944324.8399999999</v>
      </c>
      <c r="G52" s="20">
        <f>+G47-G51</f>
        <v>9611528.290000001</v>
      </c>
      <c r="H52" s="20">
        <f t="shared" ref="H52:N52" si="9">+H50-H51</f>
        <v>9187532.0999999996</v>
      </c>
      <c r="I52" s="20">
        <f t="shared" si="9"/>
        <v>9284089.9499999993</v>
      </c>
      <c r="J52" s="20">
        <f t="shared" si="9"/>
        <v>9383065.6900000013</v>
      </c>
      <c r="K52" s="20">
        <f t="shared" si="9"/>
        <v>9142529.1500000004</v>
      </c>
      <c r="L52" s="20">
        <f t="shared" si="9"/>
        <v>13264188.860000001</v>
      </c>
      <c r="M52" s="20">
        <f t="shared" si="9"/>
        <v>9605913.129999999</v>
      </c>
      <c r="N52" s="20">
        <f t="shared" si="9"/>
        <v>13125849.870000001</v>
      </c>
    </row>
    <row r="53" spans="1:15" ht="13.15" customHeight="1" x14ac:dyDescent="0.35">
      <c r="A53" s="18" t="s">
        <v>136</v>
      </c>
      <c r="B53" s="21" t="s">
        <v>74</v>
      </c>
      <c r="C53" s="20">
        <f>+C52-C56-C54</f>
        <v>3079694.5299999993</v>
      </c>
      <c r="D53" s="20">
        <f>+D52-D56-D54</f>
        <v>2733154.2380000008</v>
      </c>
      <c r="E53" s="20">
        <f>+E52-E56-E54</f>
        <v>1460156.1589999981</v>
      </c>
      <c r="F53" s="20">
        <f>+F52-F56-F54</f>
        <v>3032655.129999999</v>
      </c>
      <c r="G53" s="20">
        <f>+G52-G56-G54</f>
        <v>2958354.6600000011</v>
      </c>
      <c r="H53" s="20">
        <v>3311418.59</v>
      </c>
      <c r="I53" s="20">
        <v>4068581.11</v>
      </c>
      <c r="J53" s="20">
        <v>4259254.1399999997</v>
      </c>
      <c r="K53" s="20">
        <v>3834541.97</v>
      </c>
      <c r="L53" s="20">
        <v>4267188.55</v>
      </c>
      <c r="M53" s="20">
        <v>3627121.24</v>
      </c>
      <c r="N53" s="20">
        <v>3694571.46</v>
      </c>
    </row>
    <row r="54" spans="1:15" ht="13.15" customHeight="1" x14ac:dyDescent="0.35">
      <c r="A54" s="36" t="s">
        <v>137</v>
      </c>
      <c r="B54" s="21" t="s">
        <v>75</v>
      </c>
      <c r="C54" s="7">
        <v>7042769.0999999996</v>
      </c>
      <c r="D54" s="7">
        <v>5413326.1399999997</v>
      </c>
      <c r="E54" s="7">
        <v>4899889.7300000004</v>
      </c>
      <c r="F54" s="7">
        <v>4951203.1500000004</v>
      </c>
      <c r="G54" s="7">
        <v>4295077.83</v>
      </c>
      <c r="H54" s="7">
        <v>3926746.66</v>
      </c>
      <c r="I54" s="7">
        <v>3666552.83</v>
      </c>
      <c r="J54" s="7">
        <v>3791498.38</v>
      </c>
      <c r="K54" s="7">
        <v>4544047.1500000004</v>
      </c>
      <c r="L54" s="7">
        <v>2647504.13</v>
      </c>
      <c r="M54" s="7">
        <v>3041754.1</v>
      </c>
      <c r="N54" s="7">
        <v>3873564.61</v>
      </c>
    </row>
    <row r="55" spans="1:15" ht="13.15" customHeight="1" x14ac:dyDescent="0.35">
      <c r="A55" s="47" t="s">
        <v>138</v>
      </c>
      <c r="B55" s="21" t="s">
        <v>103</v>
      </c>
      <c r="C55" s="7"/>
      <c r="D55" s="7"/>
      <c r="E55" s="7"/>
      <c r="F55" s="7"/>
      <c r="G55" s="7"/>
      <c r="H55" s="7">
        <v>898026.54</v>
      </c>
      <c r="I55" s="7">
        <v>801239.54</v>
      </c>
      <c r="J55" s="7">
        <v>587384.44999999995</v>
      </c>
      <c r="K55" s="7">
        <v>484214.42</v>
      </c>
      <c r="L55" s="7">
        <v>259125.08</v>
      </c>
      <c r="M55" s="7">
        <v>256399.64</v>
      </c>
      <c r="N55" s="7">
        <v>232923.18</v>
      </c>
    </row>
    <row r="56" spans="1:15" ht="13.15" customHeight="1" x14ac:dyDescent="0.35">
      <c r="A56" s="48" t="s">
        <v>41</v>
      </c>
      <c r="B56" s="22" t="s">
        <v>76</v>
      </c>
      <c r="C56" s="20">
        <f>+C57+C58</f>
        <v>-1444625.9499999997</v>
      </c>
      <c r="D56" s="20">
        <f>+D57+D58</f>
        <v>31455.97100000002</v>
      </c>
      <c r="E56" s="20">
        <f>+E57+E58</f>
        <v>1244636.4310000001</v>
      </c>
      <c r="F56" s="20">
        <f>+F57+F58</f>
        <v>-2039533.44</v>
      </c>
      <c r="G56" s="20">
        <f>+G57+G58</f>
        <v>2358095.7999999998</v>
      </c>
      <c r="H56" s="20">
        <f t="shared" ref="H56:N56" si="10">+H52-SUM(H53:H55)</f>
        <v>1051340.3099999996</v>
      </c>
      <c r="I56" s="20">
        <f t="shared" si="10"/>
        <v>747716.46999999881</v>
      </c>
      <c r="J56" s="20">
        <f t="shared" si="10"/>
        <v>744928.72000000253</v>
      </c>
      <c r="K56" s="20">
        <f t="shared" si="10"/>
        <v>279725.6099999994</v>
      </c>
      <c r="L56" s="20">
        <f t="shared" si="10"/>
        <v>6090371.1000000015</v>
      </c>
      <c r="M56" s="20">
        <f t="shared" si="10"/>
        <v>2680638.1499999994</v>
      </c>
      <c r="N56" s="20">
        <f t="shared" si="10"/>
        <v>5324790.620000001</v>
      </c>
      <c r="O56" s="35">
        <f>+N56/N50</f>
        <v>0.2421029351883095</v>
      </c>
    </row>
    <row r="57" spans="1:15" ht="13.15" customHeight="1" x14ac:dyDescent="0.35">
      <c r="A57" s="6" t="s">
        <v>39</v>
      </c>
      <c r="B57" s="21" t="s">
        <v>111</v>
      </c>
      <c r="C57" s="7">
        <v>1785741.62</v>
      </c>
      <c r="D57" s="7">
        <v>1061179.51</v>
      </c>
      <c r="E57" s="7">
        <v>1490014.08</v>
      </c>
      <c r="F57" s="7">
        <v>1497176.4</v>
      </c>
      <c r="G57" s="7">
        <v>1362026.09</v>
      </c>
      <c r="H57" s="7">
        <v>1407126.7</v>
      </c>
      <c r="I57" s="7">
        <v>1247508.81</v>
      </c>
      <c r="J57" s="7">
        <v>1091707.3899999999</v>
      </c>
      <c r="K57" s="7">
        <v>879129.41</v>
      </c>
      <c r="L57" s="7">
        <v>1730293.07</v>
      </c>
      <c r="M57" s="7">
        <f>38405.87+213117.77+2146.03+1753234.33</f>
        <v>2006904</v>
      </c>
      <c r="N57" s="7">
        <f>136080.03-200000-8.6+1749536.9</f>
        <v>1685608.3299999998</v>
      </c>
    </row>
    <row r="58" spans="1:15" ht="13.15" customHeight="1" x14ac:dyDescent="0.35">
      <c r="A58" s="45" t="s">
        <v>31</v>
      </c>
      <c r="B58" s="22" t="s">
        <v>77</v>
      </c>
      <c r="C58" s="7">
        <v>-3230367.57</v>
      </c>
      <c r="D58" s="7">
        <v>-1029723.539</v>
      </c>
      <c r="E58" s="7">
        <v>-245377.649</v>
      </c>
      <c r="F58" s="7">
        <v>-3536709.84</v>
      </c>
      <c r="G58" s="7">
        <v>996069.71</v>
      </c>
      <c r="H58" s="7">
        <f t="shared" ref="H58:M58" si="11">+H56-H57</f>
        <v>-355786.39000000036</v>
      </c>
      <c r="I58" s="7">
        <f t="shared" si="11"/>
        <v>-499792.34000000125</v>
      </c>
      <c r="J58" s="7">
        <f t="shared" si="11"/>
        <v>-346778.66999999736</v>
      </c>
      <c r="K58" s="7">
        <f t="shared" si="11"/>
        <v>-599403.80000000063</v>
      </c>
      <c r="L58" s="7">
        <f t="shared" si="11"/>
        <v>4360078.0300000012</v>
      </c>
      <c r="M58" s="7">
        <f t="shared" si="11"/>
        <v>673734.14999999944</v>
      </c>
      <c r="N58" s="7">
        <f>+N56-N57</f>
        <v>3639182.290000001</v>
      </c>
    </row>
    <row r="59" spans="1:15" ht="13.15" customHeight="1" x14ac:dyDescent="0.35">
      <c r="A59" s="6" t="s">
        <v>32</v>
      </c>
      <c r="B59" s="21" t="s">
        <v>78</v>
      </c>
      <c r="C59" s="7">
        <v>343160.9</v>
      </c>
      <c r="D59" s="7">
        <v>918936.08</v>
      </c>
      <c r="E59" s="7">
        <v>2105495.41</v>
      </c>
      <c r="F59" s="7">
        <v>1882616.5</v>
      </c>
      <c r="G59" s="7">
        <v>568990.86</v>
      </c>
      <c r="H59" s="7">
        <v>122742.44</v>
      </c>
      <c r="I59" s="7" t="s">
        <v>14</v>
      </c>
      <c r="J59" s="7">
        <v>50865.32</v>
      </c>
      <c r="K59" s="7">
        <v>1775.08</v>
      </c>
      <c r="L59" s="7">
        <v>0</v>
      </c>
      <c r="M59" s="7">
        <v>0</v>
      </c>
      <c r="N59" s="7">
        <v>0</v>
      </c>
    </row>
    <row r="60" spans="1:15" ht="13.15" customHeight="1" x14ac:dyDescent="0.35">
      <c r="A60" s="6" t="s">
        <v>33</v>
      </c>
      <c r="B60" s="21" t="s">
        <v>79</v>
      </c>
      <c r="C60" s="7">
        <v>1243022.6399999999</v>
      </c>
      <c r="D60" s="7">
        <v>2089813.36</v>
      </c>
      <c r="E60" s="7">
        <v>2915133.28</v>
      </c>
      <c r="F60" s="7">
        <v>2745988.17</v>
      </c>
      <c r="G60" s="7">
        <v>1552758.23</v>
      </c>
      <c r="H60" s="7">
        <v>792846.09</v>
      </c>
      <c r="I60" s="7">
        <v>883582.84</v>
      </c>
      <c r="J60" s="7">
        <v>748104.15</v>
      </c>
      <c r="K60" s="7">
        <v>534488.91</v>
      </c>
      <c r="L60" s="7">
        <v>273891.15999999997</v>
      </c>
      <c r="M60" s="7">
        <v>168547.92</v>
      </c>
      <c r="N60" s="7">
        <v>559724.43000000005</v>
      </c>
    </row>
    <row r="61" spans="1:15" ht="13.15" customHeight="1" x14ac:dyDescent="0.35">
      <c r="A61" s="6" t="s">
        <v>87</v>
      </c>
      <c r="B61" s="21" t="s">
        <v>88</v>
      </c>
      <c r="C61" s="7">
        <v>899861.74</v>
      </c>
      <c r="D61" s="7">
        <v>1170877.28</v>
      </c>
      <c r="E61" s="7">
        <v>809637.87</v>
      </c>
      <c r="F61" s="7">
        <v>863371.67</v>
      </c>
      <c r="G61" s="7">
        <v>983767.37</v>
      </c>
      <c r="H61" s="7">
        <v>670103.65</v>
      </c>
      <c r="I61" s="7">
        <v>883582.84</v>
      </c>
      <c r="J61" s="7">
        <v>697238.83</v>
      </c>
      <c r="K61" s="7">
        <v>532713.82900000003</v>
      </c>
      <c r="L61" s="7">
        <v>273891.15999999997</v>
      </c>
      <c r="M61" s="7">
        <v>168547.92</v>
      </c>
      <c r="N61" s="7">
        <v>559724.43000000005</v>
      </c>
    </row>
    <row r="62" spans="1:15" ht="13.15" customHeight="1" x14ac:dyDescent="0.35">
      <c r="A62" s="45" t="s">
        <v>12</v>
      </c>
      <c r="B62" s="22" t="s">
        <v>80</v>
      </c>
      <c r="C62" s="7">
        <v>-4130229.31</v>
      </c>
      <c r="D62" s="7">
        <v>-2200600.8190000001</v>
      </c>
      <c r="E62" s="7">
        <v>-1055015.5190000001</v>
      </c>
      <c r="F62" s="7">
        <v>-4400081.51</v>
      </c>
      <c r="G62" s="7">
        <v>12302.34</v>
      </c>
      <c r="H62" s="7">
        <f t="shared" ref="H62:N62" si="12">+H58-H61</f>
        <v>-1025890.0400000004</v>
      </c>
      <c r="I62" s="7">
        <f t="shared" si="12"/>
        <v>-1383375.1800000011</v>
      </c>
      <c r="J62" s="7">
        <f t="shared" si="12"/>
        <v>-1044017.4999999973</v>
      </c>
      <c r="K62" s="7">
        <f t="shared" si="12"/>
        <v>-1132117.6290000007</v>
      </c>
      <c r="L62" s="7">
        <f t="shared" si="12"/>
        <v>4086186.870000001</v>
      </c>
      <c r="M62" s="7">
        <f t="shared" si="12"/>
        <v>505186.2299999994</v>
      </c>
      <c r="N62" s="7">
        <f t="shared" si="12"/>
        <v>3079457.8600000008</v>
      </c>
    </row>
    <row r="63" spans="1:15" ht="13.15" customHeight="1" x14ac:dyDescent="0.35">
      <c r="A63" s="6" t="s">
        <v>34</v>
      </c>
      <c r="B63" s="21" t="s">
        <v>81</v>
      </c>
      <c r="C63" s="7">
        <v>-740545.93</v>
      </c>
      <c r="D63" s="7">
        <v>-842239.39</v>
      </c>
      <c r="E63" s="7">
        <v>-105819.08</v>
      </c>
      <c r="F63" s="7">
        <v>-1023617.42</v>
      </c>
      <c r="G63" s="7">
        <v>-37529.040000000001</v>
      </c>
      <c r="H63" s="7">
        <v>-82979.520000000004</v>
      </c>
      <c r="I63" s="7">
        <v>-53497.81</v>
      </c>
      <c r="J63" s="7">
        <v>30441.48</v>
      </c>
      <c r="K63" s="7">
        <v>-228209.47</v>
      </c>
      <c r="L63" s="7">
        <v>32881.89</v>
      </c>
      <c r="M63" s="27">
        <v>80297.009999999995</v>
      </c>
      <c r="N63" s="27">
        <v>1082867.1200000001</v>
      </c>
    </row>
    <row r="64" spans="1:15" ht="13.15" customHeight="1" x14ac:dyDescent="0.35">
      <c r="A64" s="45" t="s">
        <v>35</v>
      </c>
      <c r="B64" s="22" t="s">
        <v>104</v>
      </c>
      <c r="C64" s="7">
        <v>-3389683.38</v>
      </c>
      <c r="D64" s="7">
        <v>-1358361.429</v>
      </c>
      <c r="E64" s="7">
        <v>-949196.43900000001</v>
      </c>
      <c r="F64" s="7">
        <v>-3376464.09</v>
      </c>
      <c r="G64" s="7">
        <v>49831.38</v>
      </c>
      <c r="H64" s="7">
        <f t="shared" ref="H64:M64" si="13">+H62-H63</f>
        <v>-942910.52000000037</v>
      </c>
      <c r="I64" s="7">
        <f t="shared" si="13"/>
        <v>-1329877.370000001</v>
      </c>
      <c r="J64" s="7">
        <f t="shared" si="13"/>
        <v>-1074458.9799999974</v>
      </c>
      <c r="K64" s="7">
        <f t="shared" si="13"/>
        <v>-903908.15900000068</v>
      </c>
      <c r="L64" s="7">
        <f t="shared" si="13"/>
        <v>4053304.9800000009</v>
      </c>
      <c r="M64" s="7">
        <f t="shared" si="13"/>
        <v>424889.21999999939</v>
      </c>
      <c r="N64" s="7">
        <f>+N62-N63</f>
        <v>1996590.7400000007</v>
      </c>
    </row>
    <row r="65" spans="1:14" ht="13.15" hidden="1" customHeight="1" x14ac:dyDescent="0.35">
      <c r="A65" s="6" t="s">
        <v>139</v>
      </c>
      <c r="B65" s="21" t="s">
        <v>82</v>
      </c>
      <c r="C65" s="7">
        <v>2354882.38</v>
      </c>
      <c r="D65" s="7">
        <v>690547.63</v>
      </c>
      <c r="E65" s="7">
        <v>572411.46</v>
      </c>
      <c r="F65" s="7">
        <v>232816.01</v>
      </c>
      <c r="G65" s="7" t="s">
        <v>14</v>
      </c>
      <c r="H65" s="7" t="s">
        <v>14</v>
      </c>
      <c r="I65" s="7" t="s">
        <v>14</v>
      </c>
      <c r="J65" s="7" t="s">
        <v>14</v>
      </c>
      <c r="K65" s="7" t="s">
        <v>14</v>
      </c>
      <c r="L65" s="7" t="s">
        <v>14</v>
      </c>
      <c r="M65" s="7" t="s">
        <v>14</v>
      </c>
      <c r="N65" s="7" t="s">
        <v>14</v>
      </c>
    </row>
    <row r="66" spans="1:14" ht="13.15" hidden="1" customHeight="1" x14ac:dyDescent="0.35">
      <c r="A66" s="6" t="s">
        <v>140</v>
      </c>
      <c r="B66" s="21" t="s">
        <v>83</v>
      </c>
      <c r="C66" s="7">
        <v>283002.15999999997</v>
      </c>
      <c r="D66" s="7">
        <v>178255.19</v>
      </c>
      <c r="E66" s="7">
        <v>299226.15000000002</v>
      </c>
      <c r="F66" s="7">
        <v>443393.96</v>
      </c>
      <c r="G66" s="7" t="s">
        <v>14</v>
      </c>
      <c r="H66" s="7" t="s">
        <v>14</v>
      </c>
      <c r="I66" s="7" t="s">
        <v>14</v>
      </c>
      <c r="J66" s="7" t="s">
        <v>14</v>
      </c>
      <c r="K66" s="7" t="s">
        <v>14</v>
      </c>
      <c r="L66" s="7" t="s">
        <v>14</v>
      </c>
      <c r="M66" s="7" t="s">
        <v>14</v>
      </c>
      <c r="N66" s="7" t="s">
        <v>14</v>
      </c>
    </row>
    <row r="67" spans="1:14" ht="13.15" customHeight="1" x14ac:dyDescent="0.35">
      <c r="A67" s="6" t="s">
        <v>141</v>
      </c>
      <c r="B67" s="21" t="s">
        <v>84</v>
      </c>
      <c r="C67" s="7">
        <v>2071880.22</v>
      </c>
      <c r="D67" s="7">
        <v>512292.44</v>
      </c>
      <c r="E67" s="7">
        <v>273185.30900000001</v>
      </c>
      <c r="F67" s="7">
        <v>-210577.95</v>
      </c>
      <c r="G67" s="7" t="s">
        <v>14</v>
      </c>
      <c r="H67" s="7">
        <v>-357791</v>
      </c>
      <c r="I67" s="7">
        <f>-726.03+-3780.6-29027.88</f>
        <v>-33534.51</v>
      </c>
      <c r="J67" s="7">
        <f>-60604.31-88508.15+5664.7+57055.7-1</f>
        <v>-86393.059999999983</v>
      </c>
      <c r="K67" s="7">
        <f>169949.84-87.5-6241.09+56360.36</f>
        <v>219981.61</v>
      </c>
      <c r="L67" s="7">
        <f>187838-207573.36-1041.21+54580.38</f>
        <v>33803.810000000012</v>
      </c>
      <c r="M67" s="7"/>
      <c r="N67" s="7"/>
    </row>
    <row r="68" spans="1:14" ht="13.15" customHeight="1" x14ac:dyDescent="0.35">
      <c r="A68" s="45" t="s">
        <v>36</v>
      </c>
      <c r="B68" s="22" t="s">
        <v>85</v>
      </c>
      <c r="C68" s="7">
        <v>-1317803.1599999999</v>
      </c>
      <c r="D68" s="7">
        <v>-846068.99</v>
      </c>
      <c r="E68" s="7">
        <v>-676011.13</v>
      </c>
      <c r="F68" s="7">
        <v>-3511646.31</v>
      </c>
      <c r="G68" s="7">
        <f>+G64</f>
        <v>49831.38</v>
      </c>
      <c r="H68" s="7">
        <f t="shared" ref="H68:N68" si="14">+H64+H67</f>
        <v>-1300701.5200000005</v>
      </c>
      <c r="I68" s="7">
        <f t="shared" si="14"/>
        <v>-1363411.8800000011</v>
      </c>
      <c r="J68" s="7">
        <f t="shared" si="14"/>
        <v>-1160852.0399999975</v>
      </c>
      <c r="K68" s="7">
        <f t="shared" si="14"/>
        <v>-683926.5490000007</v>
      </c>
      <c r="L68" s="7">
        <f t="shared" si="14"/>
        <v>4087108.790000001</v>
      </c>
      <c r="M68" s="7">
        <f t="shared" si="14"/>
        <v>424889.21999999939</v>
      </c>
      <c r="N68" s="7">
        <f t="shared" si="14"/>
        <v>1996590.7400000007</v>
      </c>
    </row>
    <row r="69" spans="1:14" ht="13" customHeight="1" x14ac:dyDescent="0.35">
      <c r="A69" s="30"/>
      <c r="B69" s="22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</row>
    <row r="70" spans="1:14" ht="13.15" customHeight="1" x14ac:dyDescent="0.35">
      <c r="A70" s="13" t="s">
        <v>15</v>
      </c>
      <c r="B70" s="13" t="s">
        <v>72</v>
      </c>
      <c r="C70" s="19">
        <v>293</v>
      </c>
      <c r="D70" s="19">
        <v>179</v>
      </c>
      <c r="E70" s="19">
        <v>172</v>
      </c>
      <c r="F70" s="19">
        <v>166</v>
      </c>
      <c r="G70" s="19">
        <v>146</v>
      </c>
      <c r="H70" s="19">
        <v>129</v>
      </c>
      <c r="I70" s="19">
        <v>127</v>
      </c>
      <c r="J70" s="19">
        <v>124</v>
      </c>
      <c r="K70" s="19">
        <v>70</v>
      </c>
      <c r="L70" s="19">
        <v>68</v>
      </c>
      <c r="M70" s="19">
        <v>113</v>
      </c>
      <c r="N70" s="19">
        <v>113</v>
      </c>
    </row>
    <row r="71" spans="1:14" ht="13.15" customHeight="1" x14ac:dyDescent="0.35">
      <c r="A71" s="40"/>
      <c r="B71" s="13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1:14" ht="13.15" customHeight="1" x14ac:dyDescent="0.35">
      <c r="A72" s="11" t="s">
        <v>37</v>
      </c>
      <c r="B72" s="12" t="s">
        <v>89</v>
      </c>
      <c r="C72" s="10"/>
      <c r="D72" s="10"/>
      <c r="E72" s="10"/>
      <c r="F72" s="10"/>
      <c r="G72" s="10"/>
      <c r="H72" s="10"/>
      <c r="I72" s="10"/>
      <c r="J72" s="31"/>
      <c r="K72" s="31"/>
      <c r="L72" s="31"/>
      <c r="M72" s="31"/>
      <c r="N72" s="31"/>
    </row>
    <row r="73" spans="1:14" ht="13.15" customHeight="1" x14ac:dyDescent="0.35">
      <c r="A73" s="6" t="s">
        <v>92</v>
      </c>
      <c r="B73" s="13" t="s">
        <v>90</v>
      </c>
      <c r="C73" s="7">
        <f>+C68+C57</f>
        <v>467938.4600000002</v>
      </c>
      <c r="D73" s="7">
        <f>+D68+D57</f>
        <v>215110.52000000002</v>
      </c>
      <c r="E73" s="7">
        <f>+E68+E57</f>
        <v>814002.95000000007</v>
      </c>
      <c r="F73" s="7">
        <f>+F68+F57</f>
        <v>-2014469.9100000001</v>
      </c>
      <c r="G73" s="7">
        <f>+G68+G57</f>
        <v>1411857.47</v>
      </c>
      <c r="H73" s="7">
        <f>+H68+H57</f>
        <v>106425.17999999947</v>
      </c>
      <c r="I73" s="7">
        <f>+I68+I57</f>
        <v>-115903.070000001</v>
      </c>
      <c r="J73" s="7">
        <f>+J68+J57</f>
        <v>-69144.649999997579</v>
      </c>
      <c r="K73" s="7">
        <f>+K68+K57</f>
        <v>195202.86099999934</v>
      </c>
      <c r="L73" s="7">
        <f>+L68+L57</f>
        <v>5817401.8600000013</v>
      </c>
      <c r="M73" s="7">
        <f>+M68+M57</f>
        <v>2431793.2199999993</v>
      </c>
      <c r="N73" s="7">
        <f>+N68+N57</f>
        <v>3682199.0700000003</v>
      </c>
    </row>
    <row r="74" spans="1:14" x14ac:dyDescent="0.35">
      <c r="A74" s="6" t="s">
        <v>40</v>
      </c>
      <c r="B74" s="13" t="s">
        <v>91</v>
      </c>
      <c r="C74" s="17">
        <f>+C68+C57+C63+C60+C54</f>
        <v>8013184.2699999996</v>
      </c>
      <c r="D74" s="17">
        <f>+D68+D57+D63+D60+D54</f>
        <v>6876010.6299999999</v>
      </c>
      <c r="E74" s="17">
        <f>+E68+E57+E63+E60+E54</f>
        <v>8523206.8800000008</v>
      </c>
      <c r="F74" s="17">
        <f>+F68+F57+F63+F60+F54</f>
        <v>4659103.99</v>
      </c>
      <c r="G74" s="17">
        <f>+G68+G57+G63+G60+G54</f>
        <v>7222164.4900000002</v>
      </c>
      <c r="H74" s="17">
        <f>+H68+H57+H63+H60+H54</f>
        <v>4743038.4099999992</v>
      </c>
      <c r="I74" s="17">
        <f>+I68+I57+I63+I60+I54</f>
        <v>4380734.7899999991</v>
      </c>
      <c r="J74" s="17">
        <f>+J68+J57+J63+J60+J54</f>
        <v>4500899.3600000022</v>
      </c>
      <c r="K74" s="17">
        <f>+K68+K57+K63+K60+K54</f>
        <v>5045529.4509999994</v>
      </c>
      <c r="L74" s="17">
        <f>+L68+L57+L63+L60+L54</f>
        <v>8771679.040000001</v>
      </c>
      <c r="M74" s="17">
        <f>+M68+M57+M63+M61+M54</f>
        <v>5722392.2499999991</v>
      </c>
      <c r="N74" s="17">
        <f>+N68+N57+N63+N61+N54</f>
        <v>9198355.2300000004</v>
      </c>
    </row>
    <row r="76" spans="1:14" ht="13.15" customHeight="1" x14ac:dyDescent="0.35">
      <c r="A76" s="11" t="s">
        <v>153</v>
      </c>
      <c r="B76" s="11"/>
      <c r="C76" s="25" t="str">
        <f>+C5</f>
        <v>31/12/2006
EUR</v>
      </c>
      <c r="D76" s="25" t="str">
        <f>+D5</f>
        <v>31/12/2007
EUR</v>
      </c>
      <c r="E76" s="25" t="str">
        <f>+E5</f>
        <v>31/12/2008
EUR</v>
      </c>
      <c r="F76" s="25" t="str">
        <f>+F5</f>
        <v>31/12/2009
EUR</v>
      </c>
      <c r="G76" s="25" t="str">
        <f>+G5</f>
        <v>31/12/2010
EUR</v>
      </c>
      <c r="H76" s="32" t="str">
        <f>+H$5</f>
        <v>31/12/2011
EUR</v>
      </c>
      <c r="I76" s="32" t="str">
        <f t="shared" ref="I76:N76" si="15">+I$5</f>
        <v>31/12/2012
EUR</v>
      </c>
      <c r="J76" s="32" t="str">
        <f t="shared" si="15"/>
        <v>31/12/2013
EUR</v>
      </c>
      <c r="K76" s="32" t="str">
        <f t="shared" si="15"/>
        <v>31/12/2014
EUR</v>
      </c>
      <c r="L76" s="32" t="str">
        <f t="shared" si="15"/>
        <v>31/12/2015
EUR</v>
      </c>
      <c r="M76" s="32" t="str">
        <f t="shared" si="15"/>
        <v>31/12/2016
EUR</v>
      </c>
      <c r="N76" s="32" t="str">
        <f t="shared" si="15"/>
        <v>31/12/2017
EUR</v>
      </c>
    </row>
    <row r="77" spans="1:14" ht="13.15" customHeight="1" x14ac:dyDescent="0.35">
      <c r="A77" s="42" t="s">
        <v>17</v>
      </c>
      <c r="B77" s="42"/>
      <c r="C77" s="43"/>
      <c r="D77" s="43"/>
      <c r="E77" s="43"/>
      <c r="F77" s="43"/>
      <c r="G77" s="43"/>
      <c r="H77" s="44"/>
      <c r="I77" s="44"/>
      <c r="J77" s="44"/>
      <c r="K77" s="44"/>
      <c r="L77" s="44"/>
      <c r="M77" s="44"/>
      <c r="N77" s="44"/>
    </row>
    <row r="78" spans="1:14" ht="13.15" customHeight="1" x14ac:dyDescent="0.35">
      <c r="A78" s="16" t="s">
        <v>66</v>
      </c>
      <c r="B78" s="13" t="s">
        <v>67</v>
      </c>
      <c r="C78" s="17">
        <f>+C7</f>
        <v>20387594.170000002</v>
      </c>
      <c r="D78" s="17">
        <f>+D7</f>
        <v>20827848.460000001</v>
      </c>
      <c r="E78" s="17">
        <f>+E7</f>
        <v>21641434.369999997</v>
      </c>
      <c r="F78" s="17">
        <f>+F7</f>
        <v>20484145.760000002</v>
      </c>
      <c r="G78" s="17">
        <f>+G7</f>
        <v>16654396.030000001</v>
      </c>
      <c r="H78" s="17">
        <f>+H7</f>
        <v>15101738.75</v>
      </c>
      <c r="I78" s="17">
        <f>+I7</f>
        <v>15280206.189999999</v>
      </c>
      <c r="J78" s="17">
        <f>+J7</f>
        <v>14412423.98</v>
      </c>
      <c r="K78" s="17">
        <f>+K7</f>
        <v>13748345.9</v>
      </c>
      <c r="L78" s="17">
        <f>+L7</f>
        <v>12941076.66</v>
      </c>
      <c r="M78" s="17">
        <f>+M7</f>
        <v>11815611.82</v>
      </c>
      <c r="N78" s="17">
        <f>+N7</f>
        <v>12218218.800000001</v>
      </c>
    </row>
    <row r="79" spans="1:14" ht="13.15" customHeight="1" x14ac:dyDescent="0.35">
      <c r="A79" s="16" t="s">
        <v>131</v>
      </c>
      <c r="B79" s="13" t="s">
        <v>143</v>
      </c>
      <c r="C79" s="17"/>
      <c r="D79" s="17"/>
      <c r="E79" s="17"/>
      <c r="F79" s="17"/>
      <c r="G79" s="17"/>
      <c r="H79" s="17">
        <f>SUM(H80:H84)</f>
        <v>9127239.7200000007</v>
      </c>
      <c r="I79" s="17">
        <f t="shared" ref="I79:N79" si="16">SUM(I80:I84)</f>
        <v>8577396.040000001</v>
      </c>
      <c r="J79" s="17">
        <f t="shared" si="16"/>
        <v>10403338.439999999</v>
      </c>
      <c r="K79" s="17">
        <f t="shared" si="16"/>
        <v>4742896.2300000004</v>
      </c>
      <c r="L79" s="17">
        <f t="shared" si="16"/>
        <v>2993418.2800000007</v>
      </c>
      <c r="M79" s="17">
        <f t="shared" si="16"/>
        <v>4825481.24</v>
      </c>
      <c r="N79" s="17">
        <f t="shared" si="16"/>
        <v>15339583.049999999</v>
      </c>
    </row>
    <row r="80" spans="1:14" ht="13.15" customHeight="1" x14ac:dyDescent="0.35">
      <c r="A80" s="37" t="s">
        <v>112</v>
      </c>
      <c r="B80" s="49" t="s">
        <v>48</v>
      </c>
      <c r="C80" s="17"/>
      <c r="D80" s="17"/>
      <c r="E80" s="17"/>
      <c r="F80" s="17"/>
      <c r="G80" s="17"/>
      <c r="H80" s="17">
        <f>+H13</f>
        <v>6004667.0800000001</v>
      </c>
      <c r="I80" s="17">
        <f>+I13</f>
        <v>5938078.25</v>
      </c>
      <c r="J80" s="17">
        <f>+J13</f>
        <v>6161100.6399999997</v>
      </c>
      <c r="K80" s="17">
        <f>+K13</f>
        <v>1642494.41</v>
      </c>
      <c r="L80" s="17">
        <f>+L13</f>
        <v>1314131.6000000001</v>
      </c>
      <c r="M80" s="17">
        <f>+M13</f>
        <v>2106889.9900000002</v>
      </c>
      <c r="N80" s="17">
        <f>+N13</f>
        <v>8132913.0199999996</v>
      </c>
    </row>
    <row r="81" spans="1:14" ht="13.15" customHeight="1" x14ac:dyDescent="0.35">
      <c r="A81" s="37" t="s">
        <v>114</v>
      </c>
      <c r="B81" s="49" t="s">
        <v>95</v>
      </c>
      <c r="C81" s="17"/>
      <c r="D81" s="17"/>
      <c r="E81" s="17"/>
      <c r="F81" s="17"/>
      <c r="G81" s="17"/>
      <c r="H81" s="17">
        <f>+H14</f>
        <v>15702.24</v>
      </c>
      <c r="I81" s="17">
        <f>+I14</f>
        <v>815.79</v>
      </c>
      <c r="J81" s="17">
        <f>+J14</f>
        <v>3190.54</v>
      </c>
      <c r="K81" s="17">
        <f>+K14</f>
        <v>43355.85</v>
      </c>
      <c r="L81" s="17">
        <f>+L14</f>
        <v>12821.34</v>
      </c>
      <c r="M81" s="17">
        <f>+M14</f>
        <v>23420.080000000002</v>
      </c>
      <c r="N81" s="17">
        <f>+N14</f>
        <v>0</v>
      </c>
    </row>
    <row r="82" spans="1:14" ht="13.15" customHeight="1" x14ac:dyDescent="0.35">
      <c r="A82" s="37" t="s">
        <v>125</v>
      </c>
      <c r="B82" s="49" t="s">
        <v>94</v>
      </c>
      <c r="C82" s="17"/>
      <c r="D82" s="17"/>
      <c r="E82" s="17"/>
      <c r="F82" s="17"/>
      <c r="G82" s="17"/>
      <c r="H82" s="17">
        <f>+H15</f>
        <v>2512652.0499999998</v>
      </c>
      <c r="I82" s="17">
        <f>+I15</f>
        <v>1785833.8</v>
      </c>
      <c r="J82" s="17">
        <f>+J15</f>
        <v>2771471.18</v>
      </c>
      <c r="K82" s="17">
        <f>+K15</f>
        <v>1970961.1</v>
      </c>
      <c r="L82" s="17">
        <f>+L15</f>
        <v>1156814.75</v>
      </c>
      <c r="M82" s="17">
        <f>+M15</f>
        <v>1667750.51</v>
      </c>
      <c r="N82" s="17">
        <f>+N15</f>
        <v>3812140.1</v>
      </c>
    </row>
    <row r="83" spans="1:14" ht="13.15" customHeight="1" x14ac:dyDescent="0.35">
      <c r="A83" s="37" t="s">
        <v>121</v>
      </c>
      <c r="B83" s="49" t="s">
        <v>96</v>
      </c>
      <c r="C83" s="17"/>
      <c r="D83" s="17"/>
      <c r="E83" s="17"/>
      <c r="F83" s="17"/>
      <c r="G83" s="17"/>
      <c r="H83" s="17">
        <f>+H16</f>
        <v>256266.51</v>
      </c>
      <c r="I83" s="17">
        <f>+I16</f>
        <v>452046.61</v>
      </c>
      <c r="J83" s="17">
        <f>+J16</f>
        <v>399501.42</v>
      </c>
      <c r="K83" s="17">
        <f>+K16</f>
        <v>657424.14</v>
      </c>
      <c r="L83" s="17">
        <f>+L16</f>
        <v>475018.45</v>
      </c>
      <c r="M83" s="17">
        <f>+M16</f>
        <v>529268.73</v>
      </c>
      <c r="N83" s="17">
        <f>+N16</f>
        <v>732126.59</v>
      </c>
    </row>
    <row r="84" spans="1:14" ht="13.15" customHeight="1" x14ac:dyDescent="0.35">
      <c r="A84" s="37" t="s">
        <v>126</v>
      </c>
      <c r="B84" s="49" t="s">
        <v>98</v>
      </c>
      <c r="C84" s="17"/>
      <c r="D84" s="17"/>
      <c r="E84" s="17"/>
      <c r="F84" s="17"/>
      <c r="G84" s="17"/>
      <c r="H84" s="17">
        <f>+H17</f>
        <v>337951.84</v>
      </c>
      <c r="I84" s="17">
        <f>+I17</f>
        <v>400621.59</v>
      </c>
      <c r="J84" s="17">
        <f>+J17</f>
        <v>1068074.6599999999</v>
      </c>
      <c r="K84" s="17">
        <f>+K17</f>
        <v>428660.73</v>
      </c>
      <c r="L84" s="17">
        <f>+L17</f>
        <v>34632.14</v>
      </c>
      <c r="M84" s="17">
        <f>+M17</f>
        <v>498151.93</v>
      </c>
      <c r="N84" s="17">
        <f>+N17</f>
        <v>2662403.34</v>
      </c>
    </row>
    <row r="85" spans="1:14" ht="13.15" customHeight="1" x14ac:dyDescent="0.35">
      <c r="A85" s="16" t="s">
        <v>142</v>
      </c>
      <c r="B85" s="13" t="s">
        <v>157</v>
      </c>
      <c r="C85" s="17"/>
      <c r="D85" s="17"/>
      <c r="E85" s="17"/>
      <c r="F85" s="17"/>
      <c r="G85" s="17"/>
      <c r="H85" s="17">
        <f>+H18+H19+H20</f>
        <v>727603.1390000002</v>
      </c>
      <c r="I85" s="17">
        <f>+I18+I19+I20</f>
        <v>685815.71000000008</v>
      </c>
      <c r="J85" s="17">
        <f>+J18+J19+J20</f>
        <v>1005246.75</v>
      </c>
      <c r="K85" s="17">
        <f>+K18+K19+K20</f>
        <v>573648.87</v>
      </c>
      <c r="L85" s="17">
        <f>+L18+L19+L20</f>
        <v>2405007.92</v>
      </c>
      <c r="M85" s="17">
        <f>+M18+M19+M20</f>
        <v>527822.81000000006</v>
      </c>
      <c r="N85" s="17">
        <f>+N18+N19+N20</f>
        <v>262350.72000000003</v>
      </c>
    </row>
    <row r="86" spans="1:14" ht="13.15" customHeight="1" x14ac:dyDescent="0.35">
      <c r="A86" s="16" t="s">
        <v>144</v>
      </c>
      <c r="B86" s="13" t="s">
        <v>145</v>
      </c>
      <c r="C86" s="17"/>
      <c r="D86" s="17"/>
      <c r="E86" s="17"/>
      <c r="F86" s="17"/>
      <c r="G86" s="17"/>
      <c r="H86" s="17">
        <f>H78+H79+H85</f>
        <v>24956581.608999997</v>
      </c>
      <c r="I86" s="17">
        <f t="shared" ref="I86:N86" si="17">I78+I79+I85</f>
        <v>24543417.940000001</v>
      </c>
      <c r="J86" s="17">
        <f t="shared" si="17"/>
        <v>25821009.170000002</v>
      </c>
      <c r="K86" s="17">
        <f t="shared" si="17"/>
        <v>19064891.000000004</v>
      </c>
      <c r="L86" s="17">
        <f t="shared" si="17"/>
        <v>18339502.859999999</v>
      </c>
      <c r="M86" s="17">
        <f t="shared" si="17"/>
        <v>17168915.870000001</v>
      </c>
      <c r="N86" s="17">
        <f t="shared" si="17"/>
        <v>27820152.57</v>
      </c>
    </row>
    <row r="87" spans="1:14" ht="13.15" customHeight="1" x14ac:dyDescent="0.35">
      <c r="A87" s="16"/>
      <c r="B87" s="13"/>
      <c r="C87" s="17"/>
      <c r="D87" s="17"/>
      <c r="E87" s="17"/>
      <c r="F87" s="17"/>
      <c r="G87" s="17"/>
      <c r="H87" s="29">
        <f>+H22-H86</f>
        <v>0</v>
      </c>
      <c r="I87" s="29">
        <f>+I22-I86</f>
        <v>0</v>
      </c>
      <c r="J87" s="29">
        <f>+J22-J86</f>
        <v>0</v>
      </c>
      <c r="K87" s="29">
        <f>+K22-K86</f>
        <v>0</v>
      </c>
      <c r="L87" s="29">
        <f>+L22-L86</f>
        <v>0</v>
      </c>
      <c r="M87" s="29">
        <f>+M22-M86</f>
        <v>0</v>
      </c>
      <c r="N87" s="29">
        <f>+N22-N86</f>
        <v>0</v>
      </c>
    </row>
    <row r="88" spans="1:14" ht="13.15" customHeight="1" x14ac:dyDescent="0.35">
      <c r="A88" s="42" t="s">
        <v>154</v>
      </c>
      <c r="B88" s="42"/>
      <c r="C88" s="43"/>
      <c r="D88" s="43"/>
      <c r="E88" s="43"/>
      <c r="F88" s="43"/>
      <c r="G88" s="43"/>
      <c r="H88" s="44"/>
      <c r="I88" s="44"/>
      <c r="J88" s="44"/>
      <c r="K88" s="44"/>
      <c r="L88" s="44"/>
      <c r="M88" s="44"/>
      <c r="N88" s="44"/>
    </row>
    <row r="89" spans="1:14" ht="13.15" customHeight="1" x14ac:dyDescent="0.35">
      <c r="A89" s="16" t="s">
        <v>61</v>
      </c>
      <c r="B89" s="13" t="s">
        <v>52</v>
      </c>
      <c r="C89" s="17">
        <f>+C25</f>
        <v>23691155.989</v>
      </c>
      <c r="D89" s="17">
        <f>+D25</f>
        <v>19622451.41</v>
      </c>
      <c r="E89" s="17">
        <f>+E25</f>
        <v>15480071.1</v>
      </c>
      <c r="F89" s="17">
        <f>+F25</f>
        <v>12047751.109999999</v>
      </c>
      <c r="G89" s="17">
        <f>+G25</f>
        <v>6957772.7199999997</v>
      </c>
      <c r="H89" s="17">
        <f>+H25</f>
        <v>8002503.4000000004</v>
      </c>
      <c r="I89" s="17">
        <f>+I25</f>
        <v>6508499.4500000002</v>
      </c>
      <c r="J89" s="17">
        <f>+J25</f>
        <v>5208582.08</v>
      </c>
      <c r="K89" s="17">
        <f>+K25</f>
        <v>4365520.68</v>
      </c>
      <c r="L89" s="17">
        <f>+L25</f>
        <v>7579719.8100000005</v>
      </c>
      <c r="M89" s="17">
        <f>+M25</f>
        <v>7946861.5099999998</v>
      </c>
      <c r="N89" s="17">
        <f>+N25</f>
        <v>9903466.3900000006</v>
      </c>
    </row>
    <row r="90" spans="1:14" ht="13.15" customHeight="1" x14ac:dyDescent="0.35">
      <c r="A90" s="16" t="s">
        <v>62</v>
      </c>
      <c r="B90" s="13" t="s">
        <v>63</v>
      </c>
      <c r="C90" s="17">
        <f>+C29</f>
        <v>3602784.4</v>
      </c>
      <c r="D90" s="17">
        <f>+D29</f>
        <v>5734887.0599999996</v>
      </c>
      <c r="E90" s="17">
        <f>+E29</f>
        <v>6416231.5800000001</v>
      </c>
      <c r="F90" s="17">
        <f>+F29</f>
        <v>7017929.0700000003</v>
      </c>
      <c r="G90" s="17">
        <f>+G29</f>
        <v>7690564.1399999997</v>
      </c>
      <c r="H90" s="17">
        <f>+H29</f>
        <v>5749711.1100000003</v>
      </c>
      <c r="I90" s="17">
        <f>+I29</f>
        <v>5780932.0899999999</v>
      </c>
      <c r="J90" s="17">
        <f>+J29</f>
        <v>5266123.91</v>
      </c>
      <c r="K90" s="17">
        <f>+K29</f>
        <v>5113878.82</v>
      </c>
      <c r="L90" s="17">
        <f>+L29</f>
        <v>5376878.9500000002</v>
      </c>
      <c r="M90" s="17">
        <f>+M29</f>
        <v>5457304.4500000002</v>
      </c>
      <c r="N90" s="17">
        <f>+N29</f>
        <v>6106122.54</v>
      </c>
    </row>
    <row r="91" spans="1:14" ht="13.15" customHeight="1" x14ac:dyDescent="0.35">
      <c r="A91" s="18" t="s">
        <v>64</v>
      </c>
      <c r="B91" s="18" t="s">
        <v>65</v>
      </c>
      <c r="C91" s="17">
        <f t="shared" ref="C91:J91" si="18">+C89+C90</f>
        <v>27293940.388999999</v>
      </c>
      <c r="D91" s="17">
        <f t="shared" si="18"/>
        <v>25357338.469999999</v>
      </c>
      <c r="E91" s="17">
        <f t="shared" si="18"/>
        <v>21896302.68</v>
      </c>
      <c r="F91" s="17">
        <f t="shared" si="18"/>
        <v>19065680.18</v>
      </c>
      <c r="G91" s="17">
        <f t="shared" si="18"/>
        <v>14648336.859999999</v>
      </c>
      <c r="H91" s="17">
        <f t="shared" si="18"/>
        <v>13752214.510000002</v>
      </c>
      <c r="I91" s="17">
        <f t="shared" si="18"/>
        <v>12289431.539999999</v>
      </c>
      <c r="J91" s="17">
        <f t="shared" si="18"/>
        <v>10474705.99</v>
      </c>
      <c r="K91" s="17">
        <f>+K89+K90</f>
        <v>9479399.5</v>
      </c>
      <c r="L91" s="17">
        <f>+L89+L90</f>
        <v>12956598.760000002</v>
      </c>
      <c r="M91" s="17">
        <f>+M89+M90</f>
        <v>13404165.960000001</v>
      </c>
      <c r="N91" s="17">
        <f>+N89+N90</f>
        <v>16009588.93</v>
      </c>
    </row>
    <row r="92" spans="1:14" ht="13.15" customHeight="1" x14ac:dyDescent="0.35">
      <c r="A92" s="16" t="s">
        <v>146</v>
      </c>
      <c r="B92" s="13" t="s">
        <v>147</v>
      </c>
      <c r="C92" s="17"/>
      <c r="D92" s="17"/>
      <c r="E92" s="17"/>
      <c r="F92" s="17"/>
      <c r="G92" s="17"/>
      <c r="H92" s="17">
        <f>SUM(H93:H96)</f>
        <v>3340529.06</v>
      </c>
      <c r="I92" s="17">
        <f t="shared" ref="I92:N92" si="19">SUM(I93:I96)</f>
        <v>4107323.66</v>
      </c>
      <c r="J92" s="17">
        <f t="shared" si="19"/>
        <v>6026262.8099999996</v>
      </c>
      <c r="K92" s="17">
        <f t="shared" si="19"/>
        <v>2279185.46</v>
      </c>
      <c r="L92" s="17">
        <f t="shared" si="19"/>
        <v>1261779.49</v>
      </c>
      <c r="M92" s="17">
        <f t="shared" si="19"/>
        <v>1253595.55</v>
      </c>
      <c r="N92" s="17">
        <f t="shared" si="19"/>
        <v>4654894.57</v>
      </c>
    </row>
    <row r="93" spans="1:14" ht="13.15" customHeight="1" x14ac:dyDescent="0.35">
      <c r="A93" s="37" t="s">
        <v>122</v>
      </c>
      <c r="B93" s="14" t="s">
        <v>99</v>
      </c>
      <c r="C93" s="17"/>
      <c r="D93" s="17"/>
      <c r="E93" s="17"/>
      <c r="F93" s="17"/>
      <c r="G93" s="17"/>
      <c r="H93" s="17">
        <f>+H36</f>
        <v>2733472.79</v>
      </c>
      <c r="I93" s="17">
        <f>+I36</f>
        <v>3884188.69</v>
      </c>
      <c r="J93" s="17">
        <f>+J36</f>
        <v>5772090.5899999999</v>
      </c>
      <c r="K93" s="17">
        <f>+K36</f>
        <v>2193704.2000000002</v>
      </c>
      <c r="L93" s="17">
        <f>+L36</f>
        <v>1171361.45</v>
      </c>
      <c r="M93" s="17">
        <f>+M36</f>
        <v>949174.75</v>
      </c>
      <c r="N93" s="17">
        <f>+N36</f>
        <v>3404814.37</v>
      </c>
    </row>
    <row r="94" spans="1:14" ht="13.15" customHeight="1" x14ac:dyDescent="0.35">
      <c r="A94" s="36" t="s">
        <v>119</v>
      </c>
      <c r="B94" s="14" t="s">
        <v>100</v>
      </c>
      <c r="C94" s="17"/>
      <c r="D94" s="17"/>
      <c r="E94" s="17"/>
      <c r="F94" s="17"/>
      <c r="G94" s="17"/>
      <c r="H94" s="17">
        <f>+H37</f>
        <v>0</v>
      </c>
      <c r="I94" s="17">
        <f>+I37</f>
        <v>0</v>
      </c>
      <c r="J94" s="17">
        <f>+J37</f>
        <v>18500</v>
      </c>
      <c r="K94" s="17">
        <f>+K37</f>
        <v>0</v>
      </c>
      <c r="L94" s="17">
        <f>+L37</f>
        <v>0</v>
      </c>
      <c r="M94" s="17">
        <f>+M37</f>
        <v>0</v>
      </c>
      <c r="N94" s="17">
        <f>+N37</f>
        <v>0</v>
      </c>
    </row>
    <row r="95" spans="1:14" ht="13.15" customHeight="1" x14ac:dyDescent="0.35">
      <c r="A95" s="37" t="s">
        <v>120</v>
      </c>
      <c r="B95" s="14" t="s">
        <v>96</v>
      </c>
      <c r="C95" s="17"/>
      <c r="D95" s="17"/>
      <c r="E95" s="17"/>
      <c r="F95" s="17"/>
      <c r="G95" s="17"/>
      <c r="H95" s="17">
        <f>+H38</f>
        <v>577493.27</v>
      </c>
      <c r="I95" s="17">
        <f>+I38</f>
        <v>223134.97</v>
      </c>
      <c r="J95" s="17">
        <f>+J38</f>
        <v>235672.22</v>
      </c>
      <c r="K95" s="17">
        <f>+K38</f>
        <v>85481.26</v>
      </c>
      <c r="L95" s="17">
        <f>+L38</f>
        <v>90418.04</v>
      </c>
      <c r="M95" s="17">
        <f>+M38</f>
        <v>118868.26</v>
      </c>
      <c r="N95" s="17">
        <f>+N38</f>
        <v>836297.75</v>
      </c>
    </row>
    <row r="96" spans="1:14" ht="13.15" customHeight="1" x14ac:dyDescent="0.35">
      <c r="A96" s="37" t="s">
        <v>127</v>
      </c>
      <c r="B96" s="14" t="s">
        <v>98</v>
      </c>
      <c r="C96" s="17"/>
      <c r="D96" s="17"/>
      <c r="E96" s="17"/>
      <c r="F96" s="17"/>
      <c r="G96" s="17"/>
      <c r="H96" s="17">
        <f>+H39</f>
        <v>29563</v>
      </c>
      <c r="I96" s="17">
        <f>+I39</f>
        <v>0</v>
      </c>
      <c r="J96" s="17">
        <f>+J39</f>
        <v>0</v>
      </c>
      <c r="K96" s="17">
        <f>+K39</f>
        <v>0</v>
      </c>
      <c r="L96" s="17">
        <f>+L39</f>
        <v>0</v>
      </c>
      <c r="M96" s="17">
        <f>+M39</f>
        <v>185552.54</v>
      </c>
      <c r="N96" s="17">
        <f>+N39</f>
        <v>413782.45</v>
      </c>
    </row>
    <row r="97" spans="1:14" ht="13.15" customHeight="1" x14ac:dyDescent="0.35">
      <c r="A97" s="16" t="s">
        <v>148</v>
      </c>
      <c r="B97" s="13" t="s">
        <v>158</v>
      </c>
      <c r="C97" s="17"/>
      <c r="D97" s="17"/>
      <c r="E97" s="17"/>
      <c r="F97" s="17"/>
      <c r="G97" s="17"/>
      <c r="H97" s="17">
        <f>+H40+H41+H35</f>
        <v>7863838.04</v>
      </c>
      <c r="I97" s="17">
        <f>+I40+I41+I35</f>
        <v>8146662.7400000002</v>
      </c>
      <c r="J97" s="17">
        <f>+J40+J41+J35</f>
        <v>9320040.3699999992</v>
      </c>
      <c r="K97" s="17">
        <f>+K40+K41+K35</f>
        <v>7306306.0399999991</v>
      </c>
      <c r="L97" s="17">
        <f>+L40+L41+L35</f>
        <v>4121124.6100000003</v>
      </c>
      <c r="M97" s="17">
        <f>+M40+M41+M35</f>
        <v>2511154.27</v>
      </c>
      <c r="N97" s="17">
        <f>+N40+N41+N35</f>
        <v>7155669.0700000003</v>
      </c>
    </row>
    <row r="98" spans="1:14" ht="13.15" customHeight="1" x14ac:dyDescent="0.35">
      <c r="A98" s="16" t="s">
        <v>149</v>
      </c>
      <c r="B98" s="13" t="s">
        <v>150</v>
      </c>
      <c r="C98" s="17"/>
      <c r="D98" s="17"/>
      <c r="E98" s="17"/>
      <c r="F98" s="17"/>
      <c r="G98" s="17"/>
      <c r="H98" s="17">
        <f>+H97+H90+H92</f>
        <v>16954078.210000001</v>
      </c>
      <c r="I98" s="17">
        <f t="shared" ref="I98:N98" si="20">+I97+I90+I92</f>
        <v>18034918.490000002</v>
      </c>
      <c r="J98" s="17">
        <f t="shared" si="20"/>
        <v>20612427.09</v>
      </c>
      <c r="K98" s="17">
        <f t="shared" si="20"/>
        <v>14699370.32</v>
      </c>
      <c r="L98" s="17">
        <f t="shared" si="20"/>
        <v>10759783.050000001</v>
      </c>
      <c r="M98" s="17">
        <f t="shared" si="20"/>
        <v>9222054.2700000014</v>
      </c>
      <c r="N98" s="17">
        <f t="shared" si="20"/>
        <v>17916686.18</v>
      </c>
    </row>
    <row r="99" spans="1:14" ht="13.15" customHeight="1" x14ac:dyDescent="0.35">
      <c r="A99" s="16" t="s">
        <v>152</v>
      </c>
      <c r="B99" s="13" t="s">
        <v>151</v>
      </c>
      <c r="C99" s="17"/>
      <c r="D99" s="17"/>
      <c r="E99" s="17"/>
      <c r="F99" s="17"/>
      <c r="G99" s="17"/>
      <c r="H99" s="17">
        <f>+H98+H89</f>
        <v>24956581.609999999</v>
      </c>
      <c r="I99" s="17">
        <f t="shared" ref="I99:N99" si="21">+I98+I89</f>
        <v>24543417.940000001</v>
      </c>
      <c r="J99" s="17">
        <f t="shared" si="21"/>
        <v>25821009.170000002</v>
      </c>
      <c r="K99" s="17">
        <f t="shared" si="21"/>
        <v>19064891</v>
      </c>
      <c r="L99" s="17">
        <f t="shared" si="21"/>
        <v>18339502.859999999</v>
      </c>
      <c r="M99" s="17">
        <f t="shared" si="21"/>
        <v>17168915.780000001</v>
      </c>
      <c r="N99" s="17">
        <f t="shared" si="21"/>
        <v>27820152.57</v>
      </c>
    </row>
    <row r="100" spans="1:14" ht="13.15" customHeight="1" x14ac:dyDescent="0.35">
      <c r="A100" s="16"/>
      <c r="B100" s="13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1:14" ht="13.15" customHeight="1" x14ac:dyDescent="0.35">
      <c r="A101" s="11" t="s">
        <v>130</v>
      </c>
      <c r="B101" s="11" t="s">
        <v>155</v>
      </c>
      <c r="C101" s="25">
        <f>+C30</f>
        <v>3302784.4</v>
      </c>
      <c r="D101" s="25">
        <f>+D30</f>
        <v>5434887.0599999996</v>
      </c>
      <c r="E101" s="25">
        <f>+E30</f>
        <v>6316231.5800000001</v>
      </c>
      <c r="F101" s="25">
        <f>+F30</f>
        <v>6917929.0700000003</v>
      </c>
      <c r="G101" s="25">
        <f>+G30</f>
        <v>7690564.1399999997</v>
      </c>
      <c r="H101" s="32" t="str">
        <f>+H$5</f>
        <v>31/12/2011
EUR</v>
      </c>
      <c r="I101" s="32" t="str">
        <f t="shared" ref="I101:N101" si="22">+I$5</f>
        <v>31/12/2012
EUR</v>
      </c>
      <c r="J101" s="32" t="str">
        <f t="shared" si="22"/>
        <v>31/12/2013
EUR</v>
      </c>
      <c r="K101" s="32" t="str">
        <f t="shared" si="22"/>
        <v>31/12/2014
EUR</v>
      </c>
      <c r="L101" s="32" t="str">
        <f t="shared" si="22"/>
        <v>31/12/2015
EUR</v>
      </c>
      <c r="M101" s="32" t="str">
        <f t="shared" si="22"/>
        <v>31/12/2016
EUR</v>
      </c>
      <c r="N101" s="32" t="str">
        <f t="shared" si="22"/>
        <v>31/12/2017
EUR</v>
      </c>
    </row>
    <row r="102" spans="1:14" ht="13.15" customHeight="1" x14ac:dyDescent="0.35">
      <c r="A102" s="16" t="s">
        <v>66</v>
      </c>
      <c r="B102" s="13" t="s">
        <v>67</v>
      </c>
      <c r="C102" s="17"/>
      <c r="D102" s="17"/>
      <c r="E102" s="17"/>
      <c r="F102" s="17"/>
      <c r="G102" s="17"/>
      <c r="H102" s="17">
        <f>+H78</f>
        <v>15101738.75</v>
      </c>
      <c r="I102" s="17">
        <f t="shared" ref="I102:N102" si="23">+I78</f>
        <v>15280206.189999999</v>
      </c>
      <c r="J102" s="17">
        <f t="shared" si="23"/>
        <v>14412423.98</v>
      </c>
      <c r="K102" s="17">
        <f t="shared" si="23"/>
        <v>13748345.9</v>
      </c>
      <c r="L102" s="17">
        <f t="shared" si="23"/>
        <v>12941076.66</v>
      </c>
      <c r="M102" s="17">
        <f t="shared" si="23"/>
        <v>11815611.82</v>
      </c>
      <c r="N102" s="17">
        <f t="shared" si="23"/>
        <v>12218218.800000001</v>
      </c>
    </row>
    <row r="103" spans="1:14" ht="13.15" customHeight="1" x14ac:dyDescent="0.35">
      <c r="A103" s="16" t="s">
        <v>68</v>
      </c>
      <c r="B103" s="13" t="s">
        <v>69</v>
      </c>
      <c r="C103" s="17"/>
      <c r="D103" s="17"/>
      <c r="E103" s="17"/>
      <c r="F103" s="17"/>
      <c r="G103" s="17"/>
      <c r="H103" s="17">
        <f>+H79-H92</f>
        <v>5786710.6600000001</v>
      </c>
      <c r="I103" s="17">
        <f t="shared" ref="I103:N103" si="24">+I79-I92</f>
        <v>4470072.3800000008</v>
      </c>
      <c r="J103" s="17">
        <f t="shared" si="24"/>
        <v>4377075.63</v>
      </c>
      <c r="K103" s="17">
        <f t="shared" si="24"/>
        <v>2463710.7700000005</v>
      </c>
      <c r="L103" s="17">
        <f t="shared" si="24"/>
        <v>1731638.7900000007</v>
      </c>
      <c r="M103" s="17">
        <f t="shared" si="24"/>
        <v>3571885.6900000004</v>
      </c>
      <c r="N103" s="17">
        <f t="shared" si="24"/>
        <v>10684688.479999999</v>
      </c>
    </row>
    <row r="104" spans="1:14" ht="13.15" customHeight="1" x14ac:dyDescent="0.35">
      <c r="A104" s="16" t="s">
        <v>156</v>
      </c>
      <c r="B104" s="13" t="s">
        <v>157</v>
      </c>
      <c r="C104" s="17"/>
      <c r="D104" s="17"/>
      <c r="E104" s="17"/>
      <c r="F104" s="17"/>
      <c r="G104" s="17"/>
      <c r="H104" s="17">
        <f>+H85</f>
        <v>727603.1390000002</v>
      </c>
      <c r="I104" s="17">
        <f t="shared" ref="I104:N104" si="25">+I85</f>
        <v>685815.71000000008</v>
      </c>
      <c r="J104" s="17">
        <f t="shared" si="25"/>
        <v>1005246.75</v>
      </c>
      <c r="K104" s="17">
        <f t="shared" si="25"/>
        <v>573648.87</v>
      </c>
      <c r="L104" s="17">
        <f t="shared" si="25"/>
        <v>2405007.92</v>
      </c>
      <c r="M104" s="17">
        <f t="shared" si="25"/>
        <v>527822.81000000006</v>
      </c>
      <c r="N104" s="17">
        <f t="shared" si="25"/>
        <v>262350.72000000003</v>
      </c>
    </row>
    <row r="105" spans="1:14" ht="13.15" customHeight="1" x14ac:dyDescent="0.35">
      <c r="A105" s="18" t="s">
        <v>70</v>
      </c>
      <c r="B105" s="18" t="s">
        <v>71</v>
      </c>
      <c r="C105" s="19" t="e">
        <f>+C78+#REF!+C20</f>
        <v>#REF!</v>
      </c>
      <c r="D105" s="19" t="e">
        <f>+D78+#REF!+D20</f>
        <v>#REF!</v>
      </c>
      <c r="E105" s="19" t="e">
        <f>+E78+#REF!+E20</f>
        <v>#REF!</v>
      </c>
      <c r="F105" s="19" t="e">
        <f>+F78+#REF!+F20</f>
        <v>#REF!</v>
      </c>
      <c r="G105" s="19" t="e">
        <f>+G78+#REF!+G20</f>
        <v>#REF!</v>
      </c>
      <c r="H105" s="19">
        <f>SUM(H102:H104)</f>
        <v>21616052.548999999</v>
      </c>
      <c r="I105" s="19">
        <f t="shared" ref="I105:N105" si="26">SUM(I102:I104)</f>
        <v>20436094.280000001</v>
      </c>
      <c r="J105" s="19">
        <f t="shared" si="26"/>
        <v>19794746.359999999</v>
      </c>
      <c r="K105" s="19">
        <f t="shared" si="26"/>
        <v>16785705.540000003</v>
      </c>
      <c r="L105" s="19">
        <f t="shared" si="26"/>
        <v>17077723.370000001</v>
      </c>
      <c r="M105" s="19">
        <f t="shared" si="26"/>
        <v>15915320.320000002</v>
      </c>
      <c r="N105" s="19">
        <f t="shared" si="26"/>
        <v>23165258</v>
      </c>
    </row>
    <row r="106" spans="1:14" ht="13.15" customHeight="1" x14ac:dyDescent="0.35">
      <c r="A106" s="16"/>
      <c r="B106" s="13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 spans="1:14" ht="13.15" customHeight="1" x14ac:dyDescent="0.35">
      <c r="A107" s="16" t="s">
        <v>61</v>
      </c>
      <c r="B107" s="13" t="s">
        <v>52</v>
      </c>
      <c r="C107" s="17"/>
      <c r="D107" s="17"/>
      <c r="E107" s="17"/>
      <c r="F107" s="17"/>
      <c r="G107" s="17"/>
      <c r="H107" s="17">
        <f>+H89</f>
        <v>8002503.4000000004</v>
      </c>
      <c r="I107" s="17">
        <f t="shared" ref="I107:N107" si="27">+I89</f>
        <v>6508499.4500000002</v>
      </c>
      <c r="J107" s="17">
        <f t="shared" si="27"/>
        <v>5208582.08</v>
      </c>
      <c r="K107" s="17">
        <f t="shared" si="27"/>
        <v>4365520.68</v>
      </c>
      <c r="L107" s="17">
        <f t="shared" si="27"/>
        <v>7579719.8100000005</v>
      </c>
      <c r="M107" s="17">
        <f t="shared" si="27"/>
        <v>7946861.5099999998</v>
      </c>
      <c r="N107" s="17">
        <f t="shared" si="27"/>
        <v>9903466.3900000006</v>
      </c>
    </row>
    <row r="108" spans="1:14" ht="13.15" customHeight="1" x14ac:dyDescent="0.35">
      <c r="A108" s="16" t="s">
        <v>159</v>
      </c>
      <c r="B108" s="13" t="s">
        <v>161</v>
      </c>
      <c r="C108" s="17"/>
      <c r="D108" s="17"/>
      <c r="E108" s="17"/>
      <c r="F108" s="17"/>
      <c r="G108" s="17"/>
      <c r="H108" s="17">
        <f>+H90</f>
        <v>5749711.1100000003</v>
      </c>
      <c r="I108" s="17">
        <f t="shared" ref="I108:N108" si="28">+I90</f>
        <v>5780932.0899999999</v>
      </c>
      <c r="J108" s="17">
        <f t="shared" si="28"/>
        <v>5266123.91</v>
      </c>
      <c r="K108" s="17">
        <f t="shared" si="28"/>
        <v>5113878.82</v>
      </c>
      <c r="L108" s="17">
        <f t="shared" si="28"/>
        <v>5376878.9500000002</v>
      </c>
      <c r="M108" s="17">
        <f t="shared" si="28"/>
        <v>5457304.4500000002</v>
      </c>
      <c r="N108" s="17">
        <f t="shared" si="28"/>
        <v>6106122.54</v>
      </c>
    </row>
    <row r="109" spans="1:14" ht="13.15" customHeight="1" x14ac:dyDescent="0.35">
      <c r="A109" s="16" t="s">
        <v>148</v>
      </c>
      <c r="B109" s="13" t="s">
        <v>158</v>
      </c>
      <c r="C109" s="17"/>
      <c r="D109" s="17"/>
      <c r="E109" s="17"/>
      <c r="F109" s="17"/>
      <c r="G109" s="17"/>
      <c r="H109" s="17">
        <f>+H97</f>
        <v>7863838.04</v>
      </c>
      <c r="I109" s="17">
        <f t="shared" ref="I109:N109" si="29">+I97</f>
        <v>8146662.7400000002</v>
      </c>
      <c r="J109" s="17">
        <f t="shared" si="29"/>
        <v>9320040.3699999992</v>
      </c>
      <c r="K109" s="17">
        <f t="shared" si="29"/>
        <v>7306306.0399999991</v>
      </c>
      <c r="L109" s="17">
        <f t="shared" si="29"/>
        <v>4121124.6100000003</v>
      </c>
      <c r="M109" s="17">
        <f t="shared" si="29"/>
        <v>2511154.27</v>
      </c>
      <c r="N109" s="17">
        <f t="shared" si="29"/>
        <v>7155669.0700000003</v>
      </c>
    </row>
    <row r="110" spans="1:14" ht="13.15" customHeight="1" x14ac:dyDescent="0.35">
      <c r="A110" s="18" t="s">
        <v>160</v>
      </c>
      <c r="B110" s="18" t="s">
        <v>162</v>
      </c>
      <c r="C110" s="17"/>
      <c r="D110" s="17"/>
      <c r="E110" s="17"/>
      <c r="F110" s="17"/>
      <c r="G110" s="17"/>
      <c r="H110" s="17">
        <f>SUM(H107:H109)</f>
        <v>21616052.550000001</v>
      </c>
      <c r="I110" s="17">
        <f t="shared" ref="I110:N110" si="30">SUM(I107:I109)</f>
        <v>20436094.280000001</v>
      </c>
      <c r="J110" s="17">
        <f t="shared" si="30"/>
        <v>19794746.359999999</v>
      </c>
      <c r="K110" s="17">
        <f t="shared" si="30"/>
        <v>16785705.539999999</v>
      </c>
      <c r="L110" s="17">
        <f t="shared" si="30"/>
        <v>17077723.370000001</v>
      </c>
      <c r="M110" s="17">
        <f t="shared" si="30"/>
        <v>15915320.23</v>
      </c>
      <c r="N110" s="17">
        <f t="shared" si="30"/>
        <v>23165258</v>
      </c>
    </row>
    <row r="111" spans="1:14" ht="13.15" customHeight="1" x14ac:dyDescent="0.35">
      <c r="A111" s="16"/>
      <c r="B111" s="13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</sheetData>
  <mergeCells count="1">
    <mergeCell ref="A1:B1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Carvalho das Neves</dc:creator>
  <cp:lastModifiedBy>João Carvalho das Neves</cp:lastModifiedBy>
  <dcterms:created xsi:type="dcterms:W3CDTF">2017-01-06T14:24:56Z</dcterms:created>
  <dcterms:modified xsi:type="dcterms:W3CDTF">2018-09-26T20:38:04Z</dcterms:modified>
</cp:coreProperties>
</file>