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neves\OneDrive - Instituto Superior de Economia e Gestao da Universidade de Lisboa\Teaching-English\ISEG-CorporateFinance-Master Finance\"/>
    </mc:Choice>
  </mc:AlternateContent>
  <bookViews>
    <workbookView xWindow="0" yWindow="420" windowWidth="11970" windowHeight="4350" tabRatio="702"/>
  </bookViews>
  <sheets>
    <sheet name="Historico" sheetId="1" r:id="rId1"/>
  </sheets>
  <calcPr calcId="162913"/>
</workbook>
</file>

<file path=xl/calcChain.xml><?xml version="1.0" encoding="utf-8"?>
<calcChain xmlns="http://schemas.openxmlformats.org/spreadsheetml/2006/main">
  <c r="C74" i="1" l="1"/>
  <c r="C71" i="1"/>
  <c r="J103" i="1"/>
  <c r="I103" i="1"/>
  <c r="H103" i="1"/>
  <c r="G103" i="1"/>
  <c r="F103" i="1"/>
  <c r="E103" i="1"/>
  <c r="D103" i="1"/>
  <c r="C103" i="1"/>
  <c r="C62" i="1"/>
  <c r="C125" i="1" l="1"/>
  <c r="C121" i="1"/>
  <c r="C120" i="1"/>
  <c r="C90" i="1"/>
  <c r="C86" i="1"/>
  <c r="C85" i="1"/>
  <c r="C84" i="1"/>
  <c r="C83" i="1"/>
  <c r="C82" i="1"/>
  <c r="C94" i="1"/>
  <c r="C73" i="1"/>
  <c r="C72" i="1"/>
  <c r="C70" i="1"/>
  <c r="C69" i="1"/>
  <c r="C48" i="1"/>
  <c r="J90" i="1"/>
  <c r="I90" i="1"/>
  <c r="H90" i="1"/>
  <c r="G90" i="1"/>
  <c r="F90" i="1"/>
  <c r="E90" i="1"/>
  <c r="D90" i="1"/>
  <c r="H86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74" i="1"/>
  <c r="J94" i="1" s="1"/>
  <c r="H74" i="1"/>
  <c r="H94" i="1" s="1"/>
  <c r="G74" i="1"/>
  <c r="G94" i="1" s="1"/>
  <c r="F74" i="1"/>
  <c r="F94" i="1" s="1"/>
  <c r="E74" i="1"/>
  <c r="E94" i="1" s="1"/>
  <c r="D74" i="1"/>
  <c r="D94" i="1" s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H71" i="1"/>
  <c r="G71" i="1"/>
  <c r="F71" i="1"/>
  <c r="E71" i="1"/>
  <c r="D71" i="1"/>
  <c r="J70" i="1"/>
  <c r="I70" i="1"/>
  <c r="H70" i="1"/>
  <c r="G70" i="1"/>
  <c r="F70" i="1"/>
  <c r="E70" i="1"/>
  <c r="D70" i="1"/>
  <c r="J69" i="1"/>
  <c r="I69" i="1"/>
  <c r="H69" i="1"/>
  <c r="G69" i="1"/>
  <c r="F69" i="1"/>
  <c r="E69" i="1"/>
  <c r="D69" i="1"/>
  <c r="J55" i="1"/>
  <c r="I55" i="1"/>
  <c r="C54" i="1"/>
  <c r="C50" i="1"/>
  <c r="J48" i="1"/>
  <c r="I48" i="1"/>
  <c r="H48" i="1"/>
  <c r="D48" i="1"/>
  <c r="G47" i="1"/>
  <c r="G48" i="1" s="1"/>
  <c r="F47" i="1"/>
  <c r="F48" i="1" s="1"/>
  <c r="E47" i="1"/>
  <c r="E48" i="1" s="1"/>
  <c r="C65" i="1"/>
  <c r="J39" i="1"/>
  <c r="I39" i="1"/>
  <c r="G39" i="1"/>
  <c r="F39" i="1"/>
  <c r="E39" i="1"/>
  <c r="D39" i="1"/>
  <c r="D32" i="1" s="1"/>
  <c r="D125" i="1" s="1"/>
  <c r="J38" i="1"/>
  <c r="I38" i="1"/>
  <c r="E38" i="1"/>
  <c r="E86" i="1" s="1"/>
  <c r="H32" i="1"/>
  <c r="H125" i="1" s="1"/>
  <c r="J29" i="1"/>
  <c r="I29" i="1"/>
  <c r="I27" i="1" s="1"/>
  <c r="H29" i="1"/>
  <c r="H27" i="1" s="1"/>
  <c r="J28" i="1"/>
  <c r="G27" i="1"/>
  <c r="F27" i="1"/>
  <c r="E27" i="1"/>
  <c r="D27" i="1"/>
  <c r="C27" i="1"/>
  <c r="I17" i="1"/>
  <c r="J10" i="1"/>
  <c r="J120" i="1" s="1"/>
  <c r="H10" i="1"/>
  <c r="G10" i="1"/>
  <c r="G120" i="1" s="1"/>
  <c r="F10" i="1"/>
  <c r="F120" i="1" s="1"/>
  <c r="E10" i="1"/>
  <c r="D10" i="1"/>
  <c r="D120" i="1" s="1"/>
  <c r="J8" i="1"/>
  <c r="J5" i="1" s="1"/>
  <c r="J67" i="1" s="1"/>
  <c r="I8" i="1"/>
  <c r="I5" i="1" s="1"/>
  <c r="H5" i="1"/>
  <c r="G5" i="1"/>
  <c r="F5" i="1"/>
  <c r="E5" i="1"/>
  <c r="E67" i="1" s="1"/>
  <c r="E91" i="1" s="1"/>
  <c r="D5" i="1"/>
  <c r="D67" i="1" s="1"/>
  <c r="C5" i="1"/>
  <c r="H121" i="1"/>
  <c r="H67" i="1"/>
  <c r="G86" i="1" l="1"/>
  <c r="G99" i="1" s="1"/>
  <c r="I10" i="1"/>
  <c r="I120" i="1" s="1"/>
  <c r="D86" i="1"/>
  <c r="D99" i="1" s="1"/>
  <c r="F86" i="1"/>
  <c r="D79" i="1"/>
  <c r="D98" i="1" s="1"/>
  <c r="I50" i="1"/>
  <c r="E79" i="1"/>
  <c r="E98" i="1" s="1"/>
  <c r="E128" i="1" s="1"/>
  <c r="C99" i="1"/>
  <c r="C114" i="1" s="1"/>
  <c r="D121" i="1"/>
  <c r="D124" i="1" s="1"/>
  <c r="F32" i="1"/>
  <c r="F125" i="1" s="1"/>
  <c r="I141" i="1"/>
  <c r="J147" i="1"/>
  <c r="I86" i="1"/>
  <c r="J32" i="1"/>
  <c r="J121" i="1" s="1"/>
  <c r="G144" i="1"/>
  <c r="D142" i="1"/>
  <c r="I143" i="1"/>
  <c r="I146" i="1"/>
  <c r="J140" i="1"/>
  <c r="J142" i="1"/>
  <c r="D140" i="1"/>
  <c r="H140" i="1"/>
  <c r="J27" i="1"/>
  <c r="H106" i="1"/>
  <c r="H79" i="1"/>
  <c r="H98" i="1" s="1"/>
  <c r="H128" i="1" s="1"/>
  <c r="I32" i="1"/>
  <c r="I125" i="1" s="1"/>
  <c r="D144" i="1"/>
  <c r="I74" i="1"/>
  <c r="I94" i="1" s="1"/>
  <c r="J50" i="1"/>
  <c r="J86" i="1"/>
  <c r="I148" i="1"/>
  <c r="E32" i="1"/>
  <c r="E125" i="1" s="1"/>
  <c r="J148" i="1"/>
  <c r="E141" i="1"/>
  <c r="E50" i="1"/>
  <c r="E148" i="1"/>
  <c r="F140" i="1"/>
  <c r="E140" i="1"/>
  <c r="I140" i="1"/>
  <c r="F141" i="1"/>
  <c r="J141" i="1"/>
  <c r="D143" i="1"/>
  <c r="H68" i="1"/>
  <c r="H75" i="1" s="1"/>
  <c r="E144" i="1"/>
  <c r="I144" i="1"/>
  <c r="F146" i="1"/>
  <c r="J146" i="1"/>
  <c r="D148" i="1"/>
  <c r="E149" i="1"/>
  <c r="I149" i="1"/>
  <c r="C144" i="1"/>
  <c r="I20" i="1"/>
  <c r="I107" i="1" s="1"/>
  <c r="E143" i="1"/>
  <c r="F144" i="1"/>
  <c r="J144" i="1"/>
  <c r="F149" i="1"/>
  <c r="J149" i="1"/>
  <c r="F20" i="1"/>
  <c r="F107" i="1" s="1"/>
  <c r="I67" i="1"/>
  <c r="I91" i="1" s="1"/>
  <c r="I130" i="1" s="1"/>
  <c r="G79" i="1"/>
  <c r="G98" i="1" s="1"/>
  <c r="G128" i="1" s="1"/>
  <c r="F147" i="1"/>
  <c r="C116" i="1"/>
  <c r="I79" i="1"/>
  <c r="I98" i="1" s="1"/>
  <c r="H91" i="1"/>
  <c r="H130" i="1" s="1"/>
  <c r="D106" i="1"/>
  <c r="G32" i="1"/>
  <c r="G125" i="1" s="1"/>
  <c r="F67" i="1"/>
  <c r="F91" i="1" s="1"/>
  <c r="F130" i="1" s="1"/>
  <c r="D50" i="1"/>
  <c r="E146" i="1"/>
  <c r="D149" i="1"/>
  <c r="C106" i="1"/>
  <c r="E68" i="1"/>
  <c r="E132" i="1" s="1"/>
  <c r="E142" i="1"/>
  <c r="I142" i="1"/>
  <c r="F148" i="1"/>
  <c r="F142" i="1"/>
  <c r="F50" i="1"/>
  <c r="D147" i="1"/>
  <c r="C26" i="1"/>
  <c r="C25" i="1" s="1"/>
  <c r="C23" i="1" s="1"/>
  <c r="C51" i="1"/>
  <c r="D20" i="1"/>
  <c r="D107" i="1" s="1"/>
  <c r="C79" i="1"/>
  <c r="C143" i="1"/>
  <c r="E130" i="1"/>
  <c r="F79" i="1"/>
  <c r="E99" i="1"/>
  <c r="C124" i="1"/>
  <c r="C122" i="1"/>
  <c r="C123" i="1"/>
  <c r="J91" i="1"/>
  <c r="E120" i="1"/>
  <c r="E20" i="1"/>
  <c r="D91" i="1"/>
  <c r="H149" i="1"/>
  <c r="H142" i="1"/>
  <c r="H144" i="1"/>
  <c r="H143" i="1"/>
  <c r="H50" i="1"/>
  <c r="H148" i="1"/>
  <c r="H147" i="1"/>
  <c r="C20" i="1"/>
  <c r="C107" i="1" s="1"/>
  <c r="G67" i="1"/>
  <c r="G20" i="1"/>
  <c r="J20" i="1"/>
  <c r="J107" i="1" s="1"/>
  <c r="G50" i="1"/>
  <c r="G143" i="1"/>
  <c r="G148" i="1"/>
  <c r="G146" i="1"/>
  <c r="G68" i="1"/>
  <c r="G140" i="1"/>
  <c r="D68" i="1"/>
  <c r="D141" i="1"/>
  <c r="H141" i="1"/>
  <c r="F68" i="1"/>
  <c r="F143" i="1"/>
  <c r="J143" i="1"/>
  <c r="J68" i="1"/>
  <c r="D81" i="1"/>
  <c r="D146" i="1"/>
  <c r="H146" i="1"/>
  <c r="E81" i="1"/>
  <c r="E147" i="1"/>
  <c r="I81" i="1"/>
  <c r="I133" i="1" s="1"/>
  <c r="I147" i="1"/>
  <c r="G81" i="1"/>
  <c r="G133" i="1" s="1"/>
  <c r="G149" i="1"/>
  <c r="H99" i="1"/>
  <c r="C142" i="1"/>
  <c r="C141" i="1"/>
  <c r="C148" i="1"/>
  <c r="C140" i="1"/>
  <c r="C67" i="1"/>
  <c r="G142" i="1"/>
  <c r="H120" i="1"/>
  <c r="H20" i="1"/>
  <c r="H81" i="1"/>
  <c r="C68" i="1"/>
  <c r="C149" i="1"/>
  <c r="C146" i="1"/>
  <c r="I68" i="1"/>
  <c r="F81" i="1"/>
  <c r="F133" i="1" s="1"/>
  <c r="J81" i="1"/>
  <c r="G147" i="1"/>
  <c r="C81" i="1"/>
  <c r="C147" i="1"/>
  <c r="G141" i="1"/>
  <c r="E106" i="1" l="1"/>
  <c r="D110" i="1"/>
  <c r="F99" i="1"/>
  <c r="C118" i="1"/>
  <c r="I54" i="1"/>
  <c r="I56" i="1" s="1"/>
  <c r="F121" i="1"/>
  <c r="F124" i="1" s="1"/>
  <c r="J125" i="1"/>
  <c r="D112" i="1"/>
  <c r="F106" i="1"/>
  <c r="D123" i="1"/>
  <c r="I99" i="1"/>
  <c r="I110" i="1" s="1"/>
  <c r="D128" i="1"/>
  <c r="D122" i="1"/>
  <c r="J99" i="1"/>
  <c r="J106" i="1"/>
  <c r="I106" i="1"/>
  <c r="J123" i="1"/>
  <c r="J124" i="1"/>
  <c r="J79" i="1"/>
  <c r="E121" i="1"/>
  <c r="E122" i="1" s="1"/>
  <c r="I121" i="1"/>
  <c r="I123" i="1" s="1"/>
  <c r="J122" i="1"/>
  <c r="I145" i="1"/>
  <c r="J139" i="1"/>
  <c r="D139" i="1"/>
  <c r="H132" i="1"/>
  <c r="F122" i="1"/>
  <c r="E54" i="1"/>
  <c r="E114" i="1" s="1"/>
  <c r="D145" i="1"/>
  <c r="J54" i="1"/>
  <c r="F145" i="1"/>
  <c r="J145" i="1"/>
  <c r="I139" i="1"/>
  <c r="E75" i="1"/>
  <c r="E76" i="1" s="1"/>
  <c r="E145" i="1"/>
  <c r="E139" i="1"/>
  <c r="H139" i="1"/>
  <c r="C139" i="1"/>
  <c r="G145" i="1"/>
  <c r="F139" i="1"/>
  <c r="I128" i="1"/>
  <c r="C98" i="1"/>
  <c r="G121" i="1"/>
  <c r="G106" i="1"/>
  <c r="D54" i="1"/>
  <c r="C41" i="1"/>
  <c r="C105" i="1" s="1"/>
  <c r="C78" i="1"/>
  <c r="C97" i="1" s="1"/>
  <c r="F54" i="1"/>
  <c r="C133" i="1"/>
  <c r="C87" i="1"/>
  <c r="I92" i="1"/>
  <c r="I93" i="1" s="1"/>
  <c r="I95" i="1" s="1"/>
  <c r="I132" i="1"/>
  <c r="I134" i="1" s="1"/>
  <c r="I75" i="1"/>
  <c r="D92" i="1"/>
  <c r="D93" i="1" s="1"/>
  <c r="D95" i="1" s="1"/>
  <c r="D132" i="1"/>
  <c r="J130" i="1"/>
  <c r="E110" i="1"/>
  <c r="C145" i="1"/>
  <c r="C92" i="1"/>
  <c r="C132" i="1"/>
  <c r="H123" i="1"/>
  <c r="H124" i="1"/>
  <c r="H122" i="1"/>
  <c r="D133" i="1"/>
  <c r="D87" i="1"/>
  <c r="F92" i="1"/>
  <c r="F93" i="1" s="1"/>
  <c r="F95" i="1" s="1"/>
  <c r="F132" i="1"/>
  <c r="F134" i="1" s="1"/>
  <c r="F75" i="1"/>
  <c r="G139" i="1"/>
  <c r="H54" i="1"/>
  <c r="D75" i="1"/>
  <c r="I87" i="1"/>
  <c r="G87" i="1"/>
  <c r="H107" i="1"/>
  <c r="H76" i="1"/>
  <c r="G75" i="1"/>
  <c r="G76" i="1" s="1"/>
  <c r="G91" i="1"/>
  <c r="E107" i="1"/>
  <c r="F98" i="1"/>
  <c r="F87" i="1"/>
  <c r="J133" i="1"/>
  <c r="H133" i="1"/>
  <c r="H87" i="1"/>
  <c r="E133" i="1"/>
  <c r="E134" i="1" s="1"/>
  <c r="E87" i="1"/>
  <c r="J132" i="1"/>
  <c r="J92" i="1"/>
  <c r="J93" i="1" s="1"/>
  <c r="J95" i="1" s="1"/>
  <c r="G132" i="1"/>
  <c r="G134" i="1" s="1"/>
  <c r="G92" i="1"/>
  <c r="D130" i="1"/>
  <c r="E112" i="1"/>
  <c r="C75" i="1"/>
  <c r="C91" i="1"/>
  <c r="H110" i="1"/>
  <c r="H145" i="1"/>
  <c r="H92" i="1"/>
  <c r="H93" i="1" s="1"/>
  <c r="H95" i="1" s="1"/>
  <c r="G54" i="1"/>
  <c r="G107" i="1"/>
  <c r="H112" i="1"/>
  <c r="J75" i="1"/>
  <c r="E92" i="1"/>
  <c r="E93" i="1" s="1"/>
  <c r="E95" i="1" s="1"/>
  <c r="G110" i="1"/>
  <c r="G112" i="1"/>
  <c r="J98" i="1" l="1"/>
  <c r="D150" i="1"/>
  <c r="E124" i="1"/>
  <c r="F123" i="1"/>
  <c r="I124" i="1"/>
  <c r="E123" i="1"/>
  <c r="I150" i="1"/>
  <c r="J134" i="1"/>
  <c r="I112" i="1"/>
  <c r="I113" i="1" s="1"/>
  <c r="E150" i="1"/>
  <c r="I114" i="1"/>
  <c r="G113" i="1"/>
  <c r="J87" i="1"/>
  <c r="I122" i="1"/>
  <c r="E113" i="1"/>
  <c r="G150" i="1"/>
  <c r="J76" i="1"/>
  <c r="J150" i="1"/>
  <c r="F76" i="1"/>
  <c r="D76" i="1"/>
  <c r="C76" i="1"/>
  <c r="E56" i="1"/>
  <c r="C80" i="1"/>
  <c r="H134" i="1"/>
  <c r="I76" i="1"/>
  <c r="F150" i="1"/>
  <c r="C134" i="1"/>
  <c r="J56" i="1"/>
  <c r="K54" i="1"/>
  <c r="J114" i="1"/>
  <c r="H150" i="1"/>
  <c r="C88" i="1"/>
  <c r="C89" i="1" s="1"/>
  <c r="C128" i="1"/>
  <c r="C117" i="1"/>
  <c r="C112" i="1"/>
  <c r="C113" i="1" s="1"/>
  <c r="C110" i="1"/>
  <c r="C150" i="1"/>
  <c r="F114" i="1"/>
  <c r="F56" i="1"/>
  <c r="I60" i="1"/>
  <c r="D56" i="1"/>
  <c r="D114" i="1"/>
  <c r="J112" i="1"/>
  <c r="J113" i="1" s="1"/>
  <c r="J128" i="1"/>
  <c r="J110" i="1"/>
  <c r="D113" i="1"/>
  <c r="G123" i="1"/>
  <c r="G124" i="1"/>
  <c r="G122" i="1"/>
  <c r="F128" i="1"/>
  <c r="F110" i="1"/>
  <c r="F112" i="1"/>
  <c r="F113" i="1" s="1"/>
  <c r="H114" i="1"/>
  <c r="H56" i="1"/>
  <c r="G114" i="1"/>
  <c r="G56" i="1"/>
  <c r="C100" i="1"/>
  <c r="C109" i="1" s="1"/>
  <c r="C127" i="1"/>
  <c r="G93" i="1"/>
  <c r="G95" i="1" s="1"/>
  <c r="G130" i="1"/>
  <c r="D134" i="1"/>
  <c r="H113" i="1"/>
  <c r="C130" i="1"/>
  <c r="C93" i="1"/>
  <c r="C95" i="1" s="1"/>
  <c r="E60" i="1" l="1"/>
  <c r="E62" i="1"/>
  <c r="I62" i="1"/>
  <c r="J60" i="1"/>
  <c r="C129" i="1"/>
  <c r="C131" i="1" s="1"/>
  <c r="C135" i="1" s="1"/>
  <c r="C137" i="1" s="1"/>
  <c r="D60" i="1"/>
  <c r="F60" i="1"/>
  <c r="G60" i="1"/>
  <c r="H60" i="1"/>
  <c r="F62" i="1" l="1"/>
  <c r="H62" i="1"/>
  <c r="J62" i="1"/>
  <c r="D62" i="1"/>
  <c r="G62" i="1"/>
  <c r="C136" i="1"/>
  <c r="I26" i="1"/>
  <c r="I25" i="1" s="1"/>
  <c r="I23" i="1" s="1"/>
  <c r="I116" i="1"/>
  <c r="E116" i="1"/>
  <c r="E26" i="1"/>
  <c r="E25" i="1" s="1"/>
  <c r="E23" i="1" s="1"/>
  <c r="J26" i="1" l="1"/>
  <c r="J25" i="1" s="1"/>
  <c r="J23" i="1" s="1"/>
  <c r="J116" i="1"/>
  <c r="I41" i="1"/>
  <c r="I78" i="1"/>
  <c r="F26" i="1"/>
  <c r="F25" i="1" s="1"/>
  <c r="F23" i="1" s="1"/>
  <c r="F116" i="1"/>
  <c r="I118" i="1"/>
  <c r="I117" i="1"/>
  <c r="D116" i="1"/>
  <c r="D26" i="1"/>
  <c r="D25" i="1" s="1"/>
  <c r="D23" i="1" s="1"/>
  <c r="E41" i="1"/>
  <c r="E78" i="1"/>
  <c r="G26" i="1"/>
  <c r="G25" i="1" s="1"/>
  <c r="G23" i="1" s="1"/>
  <c r="G116" i="1"/>
  <c r="H116" i="1"/>
  <c r="H26" i="1"/>
  <c r="H25" i="1" s="1"/>
  <c r="H23" i="1" s="1"/>
  <c r="E118" i="1"/>
  <c r="E117" i="1"/>
  <c r="J117" i="1" l="1"/>
  <c r="J118" i="1"/>
  <c r="J41" i="1"/>
  <c r="J78" i="1"/>
  <c r="F118" i="1"/>
  <c r="F117" i="1"/>
  <c r="I88" i="1"/>
  <c r="I89" i="1" s="1"/>
  <c r="I80" i="1"/>
  <c r="I97" i="1"/>
  <c r="D118" i="1"/>
  <c r="D117" i="1"/>
  <c r="D41" i="1"/>
  <c r="D78" i="1"/>
  <c r="F41" i="1"/>
  <c r="F78" i="1"/>
  <c r="I42" i="1"/>
  <c r="I105" i="1"/>
  <c r="H41" i="1"/>
  <c r="H78" i="1"/>
  <c r="G118" i="1"/>
  <c r="G117" i="1"/>
  <c r="E42" i="1"/>
  <c r="E105" i="1"/>
  <c r="H118" i="1"/>
  <c r="H117" i="1"/>
  <c r="G41" i="1"/>
  <c r="G78" i="1"/>
  <c r="E80" i="1"/>
  <c r="E97" i="1"/>
  <c r="E88" i="1"/>
  <c r="E89" i="1" s="1"/>
  <c r="J42" i="1" l="1"/>
  <c r="J105" i="1"/>
  <c r="J88" i="1"/>
  <c r="J89" i="1" s="1"/>
  <c r="J80" i="1"/>
  <c r="J97" i="1"/>
  <c r="F88" i="1"/>
  <c r="F89" i="1" s="1"/>
  <c r="F80" i="1"/>
  <c r="F97" i="1"/>
  <c r="D80" i="1"/>
  <c r="D97" i="1"/>
  <c r="D88" i="1"/>
  <c r="D89" i="1" s="1"/>
  <c r="F105" i="1"/>
  <c r="F42" i="1"/>
  <c r="D105" i="1"/>
  <c r="D42" i="1"/>
  <c r="I100" i="1"/>
  <c r="I109" i="1" s="1"/>
  <c r="I127" i="1"/>
  <c r="I129" i="1" s="1"/>
  <c r="I131" i="1" s="1"/>
  <c r="G97" i="1"/>
  <c r="G80" i="1"/>
  <c r="G88" i="1"/>
  <c r="G89" i="1" s="1"/>
  <c r="E127" i="1"/>
  <c r="E129" i="1" s="1"/>
  <c r="E131" i="1" s="1"/>
  <c r="E100" i="1"/>
  <c r="E109" i="1" s="1"/>
  <c r="H105" i="1"/>
  <c r="H42" i="1"/>
  <c r="H97" i="1"/>
  <c r="H80" i="1"/>
  <c r="H88" i="1"/>
  <c r="H89" i="1" s="1"/>
  <c r="G42" i="1"/>
  <c r="G105" i="1"/>
  <c r="J127" i="1" l="1"/>
  <c r="J129" i="1" s="1"/>
  <c r="J131" i="1" s="1"/>
  <c r="J100" i="1"/>
  <c r="J109" i="1" s="1"/>
  <c r="D100" i="1"/>
  <c r="D109" i="1" s="1"/>
  <c r="D127" i="1"/>
  <c r="D129" i="1" s="1"/>
  <c r="D131" i="1" s="1"/>
  <c r="F127" i="1"/>
  <c r="F129" i="1" s="1"/>
  <c r="F131" i="1" s="1"/>
  <c r="F100" i="1"/>
  <c r="F109" i="1" s="1"/>
  <c r="I136" i="1"/>
  <c r="I135" i="1"/>
  <c r="I137" i="1" s="1"/>
  <c r="E135" i="1"/>
  <c r="E137" i="1" s="1"/>
  <c r="E136" i="1"/>
  <c r="H100" i="1"/>
  <c r="H109" i="1" s="1"/>
  <c r="H127" i="1"/>
  <c r="H129" i="1" s="1"/>
  <c r="H131" i="1" s="1"/>
  <c r="G127" i="1"/>
  <c r="G129" i="1" s="1"/>
  <c r="G131" i="1" s="1"/>
  <c r="G100" i="1"/>
  <c r="G109" i="1" s="1"/>
  <c r="J136" i="1" l="1"/>
  <c r="J135" i="1"/>
  <c r="J137" i="1" s="1"/>
  <c r="D135" i="1"/>
  <c r="D137" i="1" s="1"/>
  <c r="D136" i="1"/>
  <c r="F135" i="1"/>
  <c r="F137" i="1" s="1"/>
  <c r="F136" i="1"/>
  <c r="G135" i="1"/>
  <c r="G137" i="1" s="1"/>
  <c r="G136" i="1"/>
  <c r="H135" i="1"/>
  <c r="H137" i="1" s="1"/>
  <c r="H136" i="1"/>
</calcChain>
</file>

<file path=xl/sharedStrings.xml><?xml version="1.0" encoding="utf-8"?>
<sst xmlns="http://schemas.openxmlformats.org/spreadsheetml/2006/main" count="300" uniqueCount="225">
  <si>
    <t>CIPAN - COMPANHIA INDUSTRIAL PRODUTORA DE ANTIBIÓTICOS, S.A.</t>
  </si>
  <si>
    <t>31/12/2015
EUR</t>
  </si>
  <si>
    <t>31/12/2014
EUR</t>
  </si>
  <si>
    <t>31/12/2013
EUR</t>
  </si>
  <si>
    <t>31/12/2012
EUR</t>
  </si>
  <si>
    <t>31/12/2011
EUR</t>
  </si>
  <si>
    <t>31/12/2010
EUR</t>
  </si>
  <si>
    <t xml:space="preserve">  Shareholders funds</t>
  </si>
  <si>
    <t>Balance sheet</t>
  </si>
  <si>
    <t>Assets</t>
  </si>
  <si>
    <t xml:space="preserve">   - Intangible fixed assets</t>
  </si>
  <si>
    <t xml:space="preserve">   - Tangible fixed assets</t>
  </si>
  <si>
    <t xml:space="preserve">   - Other fixed assets</t>
  </si>
  <si>
    <t xml:space="preserve">  TOTAL ASSETS</t>
  </si>
  <si>
    <t>Liabilities &amp; Equity</t>
  </si>
  <si>
    <t xml:space="preserve">   - Capital</t>
  </si>
  <si>
    <t xml:space="preserve">  Non-current liabilities</t>
  </si>
  <si>
    <t xml:space="preserve">   - Other non-current liabilities</t>
  </si>
  <si>
    <t xml:space="preserve">  Current liabilities</t>
  </si>
  <si>
    <t>Profit &amp; loss account</t>
  </si>
  <si>
    <t>Balanço</t>
  </si>
  <si>
    <t>Ativos fixos (não correntes)</t>
  </si>
  <si>
    <t>- Ativos fixos tangíveis</t>
  </si>
  <si>
    <t>- Outros ativos fixos</t>
  </si>
  <si>
    <t>Ativos correntes (circulante)</t>
  </si>
  <si>
    <t>- Inventários (Existências)</t>
  </si>
  <si>
    <t>TOTAL DOS ATIVOS</t>
  </si>
  <si>
    <t>Capital próprio</t>
  </si>
  <si>
    <t>- Capital social</t>
  </si>
  <si>
    <t>- Reservas e lucros</t>
  </si>
  <si>
    <t>Passivo não corrente (longo prazo)</t>
  </si>
  <si>
    <t>- Dívida financeira de M/L prazo</t>
  </si>
  <si>
    <t>- Provisões</t>
  </si>
  <si>
    <t>Passivo corrente (circulante)</t>
  </si>
  <si>
    <t>- Financiamento bancário</t>
  </si>
  <si>
    <t>CAPITAL PRÓPRIO E PASSIVO</t>
  </si>
  <si>
    <t>Equity</t>
  </si>
  <si>
    <t>Long-term loans</t>
  </si>
  <si>
    <t>Passivo não corrente</t>
  </si>
  <si>
    <t>Long term capital</t>
  </si>
  <si>
    <t>Capital permanente</t>
  </si>
  <si>
    <t>Fixed assets</t>
  </si>
  <si>
    <t>Ativo fixo</t>
  </si>
  <si>
    <t>Working capital requirements</t>
  </si>
  <si>
    <t>Necessidades em fundo de maneio</t>
  </si>
  <si>
    <t>Net Liquid Balance</t>
  </si>
  <si>
    <t>Tesouraria Liquida</t>
  </si>
  <si>
    <t>Invested capital</t>
  </si>
  <si>
    <t>Capital investido</t>
  </si>
  <si>
    <t>Numero de empregados</t>
  </si>
  <si>
    <t>Consumo de materiais</t>
  </si>
  <si>
    <t>Fornecimentos e serviços externos</t>
  </si>
  <si>
    <t>Custos com pessoal</t>
  </si>
  <si>
    <t>EBITDA</t>
  </si>
  <si>
    <t>Resultado operacional</t>
  </si>
  <si>
    <t>Ganhos financeiros</t>
  </si>
  <si>
    <t>Gastos financeiros</t>
  </si>
  <si>
    <t>Resultados antes de impostos</t>
  </si>
  <si>
    <t>Impostos sobre lucros</t>
  </si>
  <si>
    <t>Resultados líquidos</t>
  </si>
  <si>
    <t>Margem  bruta</t>
  </si>
  <si>
    <t>Gastos financeiros liquidos</t>
  </si>
  <si>
    <t>Autofinanciamento bruto</t>
  </si>
  <si>
    <t xml:space="preserve">  Cash earnings</t>
  </si>
  <si>
    <t>Análise Financeira</t>
  </si>
  <si>
    <t>1. SOLIDEZ FINANCEIRA</t>
  </si>
  <si>
    <t>Endividamento</t>
  </si>
  <si>
    <t>Estrutura do endividamento</t>
  </si>
  <si>
    <t>Net debt to EBITDA</t>
  </si>
  <si>
    <t>- Ativos fixos intangíveis</t>
  </si>
  <si>
    <t>- Clientes</t>
  </si>
  <si>
    <t>- Adiantamentos a fornecedores</t>
  </si>
  <si>
    <t>- Estado e OEP</t>
  </si>
  <si>
    <t>- Acionistas</t>
  </si>
  <si>
    <t>- Diferimentos</t>
  </si>
  <si>
    <t>- Fornecedores</t>
  </si>
  <si>
    <t>- Adiantamentos de clientes</t>
  </si>
  <si>
    <t>Outros rendimentos</t>
  </si>
  <si>
    <t>Outras perdas operacionais</t>
  </si>
  <si>
    <t>Variação da produção</t>
  </si>
  <si>
    <t>31/12/2016
EUR</t>
  </si>
  <si>
    <t>31/12/2017
EUR</t>
  </si>
  <si>
    <t>- Outros créditos a receber</t>
  </si>
  <si>
    <t>- Outras dívidas a pagar</t>
  </si>
  <si>
    <t>Vendas e prestações de serviços</t>
  </si>
  <si>
    <t>- Inventories</t>
  </si>
  <si>
    <t>Current assets</t>
  </si>
  <si>
    <t>- Advances from suppliers</t>
  </si>
  <si>
    <t>- Shareholders</t>
  </si>
  <si>
    <t xml:space="preserve">   - Other debtors</t>
  </si>
  <si>
    <t>- Provisions</t>
  </si>
  <si>
    <t>- Advances from customers</t>
  </si>
  <si>
    <t xml:space="preserve">- State accounts payable </t>
  </si>
  <si>
    <t>- State accounts receivable</t>
  </si>
  <si>
    <t>- Trade payables</t>
  </si>
  <si>
    <t xml:space="preserve">   - Long term borrowings</t>
  </si>
  <si>
    <t>- Short term borrowings</t>
  </si>
  <si>
    <t>- Trade receivables</t>
  </si>
  <si>
    <t>- Operational Accruals</t>
  </si>
  <si>
    <t>- Shareholder's loans</t>
  </si>
  <si>
    <t xml:space="preserve">  TOTAL SHAREHOLDERS FUNDS &amp; LIABILITIES</t>
  </si>
  <si>
    <t>Managerial Balance Sheet</t>
  </si>
  <si>
    <t>Operational assets</t>
  </si>
  <si>
    <t>Production variance</t>
  </si>
  <si>
    <t>Other revenues</t>
  </si>
  <si>
    <t>Sales</t>
  </si>
  <si>
    <t>Total Revenues</t>
  </si>
  <si>
    <t>Supplies and Services</t>
  </si>
  <si>
    <t>Personnel expenses</t>
  </si>
  <si>
    <t>Other operational expenses</t>
  </si>
  <si>
    <t>Cash &amp; Equivalentes</t>
  </si>
  <si>
    <t>Ativo cíclico</t>
  </si>
  <si>
    <t>Total Assets</t>
  </si>
  <si>
    <t>Ativo total</t>
  </si>
  <si>
    <t>Operational liabilities</t>
  </si>
  <si>
    <t>Passivo cíclico</t>
  </si>
  <si>
    <t>Short term loans</t>
  </si>
  <si>
    <t>Liabilities</t>
  </si>
  <si>
    <t>Passivo</t>
  </si>
  <si>
    <t>Capital próprio e passivo</t>
  </si>
  <si>
    <t>Equity and liabilities</t>
  </si>
  <si>
    <t>Balance Sheet Restructured</t>
  </si>
  <si>
    <t>Equity and Liabilities</t>
  </si>
  <si>
    <t>Cash &amp; equivalents</t>
  </si>
  <si>
    <t>Tesouraria ativa</t>
  </si>
  <si>
    <t>Tesouraria passiva</t>
  </si>
  <si>
    <t>Long term loans</t>
  </si>
  <si>
    <t>Capital Employed</t>
  </si>
  <si>
    <t>Capital Obtido</t>
  </si>
  <si>
    <t>Performance Assessment</t>
  </si>
  <si>
    <t>- Operational prepaid expenses</t>
  </si>
  <si>
    <t xml:space="preserve">   - Cash &amp; Deposits</t>
  </si>
  <si>
    <t>1. FINANCIAL STRENGTH</t>
  </si>
  <si>
    <t>ACCOUNTING BALANCE SHEET STRUCTURE</t>
  </si>
  <si>
    <t>Assets structure = Fixed Assets/Assets</t>
  </si>
  <si>
    <t>Liabilities structure = Current Liabilities/Liabilities</t>
  </si>
  <si>
    <t>CAPITAL STRUCTURE (MANAGERIAL BALANCE SHEET)</t>
  </si>
  <si>
    <t>Estrutura do passivo = Passivo circulante/Passivo</t>
  </si>
  <si>
    <t>Estrutura do ativo = Ativo fixo/Ativo</t>
  </si>
  <si>
    <t>Endividamento = Passivo/(Capital próprio e Passivo)</t>
  </si>
  <si>
    <t>Debt ratio = Liabilities/(Equity and Liabilities)</t>
  </si>
  <si>
    <t>Debt ratio =Debt/(Equity and Debt)</t>
  </si>
  <si>
    <t>Debt Structure=Current Debt/Debt</t>
  </si>
  <si>
    <t>ESTRUTURA DO BALANÇO CONTABILISTICO</t>
  </si>
  <si>
    <t>ESTRUTURA DE CAPITAL (BALANÇO FUNCIONAL)</t>
  </si>
  <si>
    <t>Dívida de m/l prazo</t>
  </si>
  <si>
    <t>CAPACIDADE DE PAGAMENTO</t>
  </si>
  <si>
    <t>PAYMENT ABILITY</t>
  </si>
  <si>
    <t>TRADITIONAL LIQUITY ANALYSIS</t>
  </si>
  <si>
    <t>ANÁLISE TRADICIONAL DA LIQUIDEZ</t>
  </si>
  <si>
    <t>Current ratio</t>
  </si>
  <si>
    <t>Quick ratio</t>
  </si>
  <si>
    <t>Cash ratio</t>
  </si>
  <si>
    <t>Net debt</t>
  </si>
  <si>
    <t>EBITDA to Short-term debt</t>
  </si>
  <si>
    <t>EBITDA/Divida curto prazo</t>
  </si>
  <si>
    <t>Amortizações e depreciações</t>
  </si>
  <si>
    <t>Debt to Cash Earnings</t>
  </si>
  <si>
    <t>Cash Earnings to Short-term Debt</t>
  </si>
  <si>
    <t>Liquidez geral</t>
  </si>
  <si>
    <t>Liquidez reduzida</t>
  </si>
  <si>
    <t>Liquidez imediata</t>
  </si>
  <si>
    <t>Working capital</t>
  </si>
  <si>
    <t>Fundo de maneio</t>
  </si>
  <si>
    <t>ANÁLISE DA LIQUIDEZ BASEADA NA TESOURARIA LIQUIDA</t>
  </si>
  <si>
    <t>LIQUIDITY BASED ON THE FUNDING STRUCTURE OF WCR</t>
  </si>
  <si>
    <t>Passivo circulante</t>
  </si>
  <si>
    <t>Ativo circulante</t>
  </si>
  <si>
    <t>Current liabilities</t>
  </si>
  <si>
    <t>- Caixa e depósitos bancários</t>
  </si>
  <si>
    <t>Cash Earnings Based Ratios:</t>
  </si>
  <si>
    <t>Rácios baseados em Cash Earnings:</t>
  </si>
  <si>
    <t>Long-tem capital</t>
  </si>
  <si>
    <t>Long-term debt</t>
  </si>
  <si>
    <t>Passivo m/l prazo</t>
  </si>
  <si>
    <t>Capitais permanentes</t>
  </si>
  <si>
    <t>Liquidity ratio</t>
  </si>
  <si>
    <t>Racio de liquidez (Hawawini)</t>
  </si>
  <si>
    <t>NLB to Revenues</t>
  </si>
  <si>
    <t>- Acréscimos e diferimentos ativos</t>
  </si>
  <si>
    <t>- Acréscimo e diferimentos passivos</t>
  </si>
  <si>
    <t>- Operational accruals and deferrals</t>
  </si>
  <si>
    <t>Operational Assets Days of Sales Outstanding:</t>
  </si>
  <si>
    <t>Operational Liabilities Days of Sales Outstanding:</t>
  </si>
  <si>
    <t>Tempo médio de conversão dos ativos cíclicos:</t>
  </si>
  <si>
    <t>Tempo médio de conversão dos passivos cíclicos:</t>
  </si>
  <si>
    <t>- Tempo médio Inventários (Existências)</t>
  </si>
  <si>
    <t>- Prazo médio de Adiantamentos a fornecedores</t>
  </si>
  <si>
    <t>- Prazo médio de recebimento de clientes</t>
  </si>
  <si>
    <t>- Prazo médio de pagamento ao Estado e OEP</t>
  </si>
  <si>
    <t>- Prazo médio de pagamento a fornecedores</t>
  </si>
  <si>
    <t>- Prazo médio de adiantamentos de clientes</t>
  </si>
  <si>
    <t>- Tempo médio dos acréscimos e diferimentos passivos</t>
  </si>
  <si>
    <t>- Tempo médio dos acéscimos diferimentos ativos</t>
  </si>
  <si>
    <t>Cash Conversion Cycle (Days of Revenues)</t>
  </si>
  <si>
    <t>Ciclo financeiro em dias de vendas</t>
  </si>
  <si>
    <t>Capital investido nas operações</t>
  </si>
  <si>
    <t>Invest capital in operations</t>
  </si>
  <si>
    <t>Control</t>
  </si>
  <si>
    <t>Controlo</t>
  </si>
  <si>
    <t>Tesouraria Liquida em % das Vendas</t>
  </si>
  <si>
    <t>Financial expenses</t>
  </si>
  <si>
    <t>Demonstração de resultados por natureza</t>
  </si>
  <si>
    <t>- Net profit current year</t>
  </si>
  <si>
    <t xml:space="preserve">   - Reserves and Retained Earnings</t>
  </si>
  <si>
    <t>- Resultado liquido do ano</t>
  </si>
  <si>
    <t>Ativo</t>
  </si>
  <si>
    <t>Capital próprio e Passivo</t>
  </si>
  <si>
    <t>Capital Próprio e Passivo</t>
  </si>
  <si>
    <t xml:space="preserve">Balanço Restruturado </t>
  </si>
  <si>
    <t>Balanço Funcional</t>
  </si>
  <si>
    <t>- Other current liabilities</t>
  </si>
  <si>
    <t>Material costs</t>
  </si>
  <si>
    <t>Volume de negócios</t>
  </si>
  <si>
    <t>Depreciation &amp; Amortization</t>
  </si>
  <si>
    <t>Gross profit</t>
  </si>
  <si>
    <t>Operating P/L [=EBIT]</t>
  </si>
  <si>
    <t>Financial revenue</t>
  </si>
  <si>
    <t>Net financial expenses</t>
  </si>
  <si>
    <t>P/L before tax</t>
  </si>
  <si>
    <t>Taxation</t>
  </si>
  <si>
    <t>P/L for period [=Net income]</t>
  </si>
  <si>
    <t>Number of employees</t>
  </si>
  <si>
    <t>CASH CONVERSION (in Days of Revenues)</t>
  </si>
  <si>
    <t>CICLO FINANCEIRO (Dias de Vendas)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</si>
</sst>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,##0"/>
    <numFmt numFmtId="165" formatCode="###,##0.00"/>
    <numFmt numFmtId="166" formatCode="###,##0.0"/>
    <numFmt numFmtId="167" formatCode="0.0%"/>
  </numFmts>
  <fonts count="2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.5"/>
      <color rgb="FF333333"/>
      <name val="Verdana"/>
      <family val="2"/>
    </font>
    <font>
      <b/>
      <sz val="8.5"/>
      <color rgb="FF333333"/>
      <name val="Verdana"/>
      <family val="2"/>
    </font>
    <font>
      <sz val="8.5"/>
      <color rgb="FF000000"/>
      <name val="Verdana"/>
      <family val="2"/>
    </font>
    <font>
      <sz val="11"/>
      <color rgb="FF000000"/>
      <name val="Calibri"/>
      <family val="2"/>
    </font>
    <font>
      <b/>
      <sz val="8.5"/>
      <color indexed="63"/>
      <name val="Verdana"/>
      <family val="2"/>
    </font>
    <font>
      <sz val="8.5"/>
      <color indexed="8"/>
      <name val="Verdana"/>
      <family val="2"/>
    </font>
    <font>
      <sz val="8.5"/>
      <color indexed="63"/>
      <name val="Verdana"/>
      <family val="2"/>
    </font>
    <font>
      <i/>
      <sz val="8.5"/>
      <color indexed="8"/>
      <name val="Verdana"/>
      <family val="2"/>
    </font>
    <font>
      <b/>
      <sz val="8.5"/>
      <color indexed="8"/>
      <name val="Verdana"/>
      <family val="2"/>
    </font>
    <font>
      <sz val="10"/>
      <color theme="1"/>
      <name val="Calibri Light"/>
      <family val="2"/>
    </font>
    <font>
      <sz val="11"/>
      <color rgb="FFFF0000"/>
      <name val="Calibri"/>
      <family val="2"/>
    </font>
    <font>
      <sz val="8.5"/>
      <color rgb="FFFF0000"/>
      <name val="Verdana"/>
      <family val="2"/>
    </font>
    <font>
      <sz val="8.5"/>
      <color theme="1" tint="0.14999847407452621"/>
      <name val="Verdana"/>
      <family val="2"/>
    </font>
    <font>
      <b/>
      <sz val="9"/>
      <color rgb="FF003366"/>
      <name val="Verdana"/>
      <family val="2"/>
    </font>
    <font>
      <i/>
      <sz val="8.5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333333"/>
      <name val="Verdana"/>
      <family val="2"/>
    </font>
    <font>
      <b/>
      <sz val="8.5"/>
      <color theme="1" tint="0.14999847407452621"/>
      <name val="Verdana"/>
      <family val="2"/>
    </font>
    <font>
      <b/>
      <sz val="10"/>
      <color indexed="6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6DC"/>
      </patternFill>
    </fill>
    <fill>
      <patternFill patternType="solid">
        <fgColor rgb="FFF2F2F2"/>
      </patternFill>
    </fill>
    <fill>
      <patternFill patternType="solid">
        <fgColor rgb="FFE4ECF6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167" fontId="8" fillId="8" borderId="3" xfId="1" applyNumberFormat="1" applyFont="1" applyFill="1" applyBorder="1" applyAlignment="1">
      <alignment horizontal="right" vertical="top"/>
    </xf>
    <xf numFmtId="164" fontId="0" fillId="0" borderId="0" xfId="0" applyNumberFormat="1"/>
    <xf numFmtId="9" fontId="2" fillId="2" borderId="0" xfId="1" applyFont="1" applyFill="1" applyBorder="1" applyAlignment="1">
      <alignment horizontal="right" vertical="top" wrapText="1"/>
    </xf>
    <xf numFmtId="0" fontId="7" fillId="8" borderId="3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0" fillId="8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left" vertical="center" wrapText="1"/>
    </xf>
    <xf numFmtId="166" fontId="6" fillId="8" borderId="2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7" fillId="8" borderId="3" xfId="0" quotePrefix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4" fillId="2" borderId="1" xfId="0" quotePrefix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0" fillId="2" borderId="1" xfId="0" applyNumberFormat="1" applyFill="1" applyBorder="1" applyAlignment="1">
      <alignment vertical="center"/>
    </xf>
    <xf numFmtId="0" fontId="7" fillId="8" borderId="3" xfId="0" quotePrefix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164" fontId="12" fillId="2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7" fillId="8" borderId="3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/>
    </xf>
    <xf numFmtId="3" fontId="11" fillId="0" borderId="0" xfId="2" applyNumberFormat="1" applyFont="1" applyBorder="1" applyAlignment="1">
      <alignment vertical="center"/>
    </xf>
    <xf numFmtId="164" fontId="2" fillId="2" borderId="0" xfId="0" applyNumberFormat="1" applyFont="1" applyFill="1" applyBorder="1" applyAlignment="1">
      <alignment horizontal="right" vertical="center"/>
    </xf>
    <xf numFmtId="164" fontId="8" fillId="8" borderId="3" xfId="0" applyNumberFormat="1" applyFont="1" applyFill="1" applyBorder="1" applyAlignment="1">
      <alignment horizontal="righ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right" vertical="center" wrapText="1"/>
    </xf>
    <xf numFmtId="0" fontId="14" fillId="5" borderId="0" xfId="0" applyFont="1" applyFill="1" applyBorder="1" applyAlignment="1">
      <alignment horizontal="right" vertical="center" wrapText="1"/>
    </xf>
    <xf numFmtId="164" fontId="8" fillId="8" borderId="3" xfId="0" applyNumberFormat="1" applyFont="1" applyFill="1" applyBorder="1" applyAlignment="1">
      <alignment horizontal="right" vertical="center"/>
    </xf>
    <xf numFmtId="0" fontId="7" fillId="8" borderId="3" xfId="0" applyFont="1" applyFill="1" applyBorder="1" applyAlignment="1">
      <alignment horizontal="right" vertical="center" wrapText="1"/>
    </xf>
    <xf numFmtId="164" fontId="13" fillId="8" borderId="3" xfId="0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right" vertical="center" wrapText="1"/>
    </xf>
    <xf numFmtId="0" fontId="20" fillId="6" borderId="3" xfId="0" applyFont="1" applyFill="1" applyBorder="1" applyAlignment="1">
      <alignment vertical="center" wrapText="1"/>
    </xf>
    <xf numFmtId="0" fontId="0" fillId="6" borderId="3" xfId="0" applyFill="1" applyBorder="1" applyAlignment="1">
      <alignment vertical="center"/>
    </xf>
    <xf numFmtId="165" fontId="8" fillId="8" borderId="3" xfId="0" applyNumberFormat="1" applyFont="1" applyFill="1" applyBorder="1" applyAlignment="1">
      <alignment horizontal="right" vertical="center"/>
    </xf>
    <xf numFmtId="166" fontId="8" fillId="8" borderId="3" xfId="0" applyNumberFormat="1" applyFont="1" applyFill="1" applyBorder="1" applyAlignment="1">
      <alignment horizontal="right" vertical="center"/>
    </xf>
    <xf numFmtId="167" fontId="8" fillId="8" borderId="3" xfId="1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 wrapText="1"/>
    </xf>
    <xf numFmtId="166" fontId="8" fillId="8" borderId="2" xfId="0" applyNumberFormat="1" applyFont="1" applyFill="1" applyBorder="1" applyAlignment="1">
      <alignment horizontal="left" vertical="center"/>
    </xf>
    <xf numFmtId="166" fontId="8" fillId="8" borderId="2" xfId="0" applyNumberFormat="1" applyFont="1" applyFill="1" applyBorder="1" applyAlignment="1">
      <alignment horizontal="right" vertical="center"/>
    </xf>
    <xf numFmtId="0" fontId="4" fillId="2" borderId="1" xfId="0" quotePrefix="1" applyFont="1" applyFill="1" applyBorder="1" applyAlignment="1">
      <alignment horizontal="left" vertical="center" wrapText="1" indent="1"/>
    </xf>
    <xf numFmtId="0" fontId="7" fillId="8" borderId="3" xfId="0" quotePrefix="1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15" fillId="2" borderId="0" xfId="0" applyFont="1" applyFill="1" applyAlignment="1">
      <alignment horizontal="left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Financing</a:t>
            </a:r>
            <a:r>
              <a:rPr lang="en-GB" baseline="0"/>
              <a:t> Strategy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02249864681315"/>
          <c:y val="0.17171296296296298"/>
          <c:w val="0.83303716412880302"/>
          <c:h val="0.54380322251385238"/>
        </c:manualLayout>
      </c:layout>
      <c:lineChart>
        <c:grouping val="standard"/>
        <c:varyColors val="0"/>
        <c:ser>
          <c:idx val="0"/>
          <c:order val="0"/>
          <c:tx>
            <c:v>Invested capital in operations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Historico!$D$93:$J$93</c:f>
              <c:numCache>
                <c:formatCode>###\ ##0</c:formatCode>
                <c:ptCount val="7"/>
                <c:pt idx="0">
                  <c:v>20888449.41</c:v>
                </c:pt>
                <c:pt idx="1">
                  <c:v>19750278.57</c:v>
                </c:pt>
                <c:pt idx="2">
                  <c:v>18789499.609999999</c:v>
                </c:pt>
                <c:pt idx="3">
                  <c:v>16212056.670000002</c:v>
                </c:pt>
                <c:pt idx="4">
                  <c:v>14672715.450000001</c:v>
                </c:pt>
                <c:pt idx="5">
                  <c:v>15387497.510000002</c:v>
                </c:pt>
                <c:pt idx="6">
                  <c:v>22902907.280000001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3-4783-B0C7-D08548150DA8}"/>
            </c:ext>
          </c:extLst>
        </c:ser>
        <c:ser>
          <c:idx val="1"/>
          <c:order val="1"/>
          <c:tx>
            <c:v>Fixed Assets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Historico!$D$130:$J$130</c:f>
              <c:numCache>
                <c:formatCode>###\ ##0</c:formatCode>
                <c:ptCount val="7"/>
                <c:pt idx="0">
                  <c:v>15101738.75</c:v>
                </c:pt>
                <c:pt idx="1">
                  <c:v>15280206.189999999</c:v>
                </c:pt>
                <c:pt idx="2">
                  <c:v>14412423.98</c:v>
                </c:pt>
                <c:pt idx="3">
                  <c:v>13748345.9</c:v>
                </c:pt>
                <c:pt idx="4">
                  <c:v>12941076.66</c:v>
                </c:pt>
                <c:pt idx="5">
                  <c:v>11815611.82</c:v>
                </c:pt>
                <c:pt idx="6">
                  <c:v>12218218.800000001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3-4783-B0C7-D08548150DA8}"/>
            </c:ext>
          </c:extLst>
        </c:ser>
        <c:ser>
          <c:idx val="2"/>
          <c:order val="2"/>
          <c:tx>
            <c:v>Working Capital Requirements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Historico!$D$134:$J$134</c:f>
              <c:numCache>
                <c:formatCode>###\ ##0</c:formatCode>
                <c:ptCount val="7"/>
                <c:pt idx="0">
                  <c:v>5786710.6600000001</c:v>
                </c:pt>
                <c:pt idx="1">
                  <c:v>4470072.3800000008</c:v>
                </c:pt>
                <c:pt idx="2">
                  <c:v>4377075.63</c:v>
                </c:pt>
                <c:pt idx="3">
                  <c:v>2463710.7700000005</c:v>
                </c:pt>
                <c:pt idx="4">
                  <c:v>1731638.7900000007</c:v>
                </c:pt>
                <c:pt idx="5">
                  <c:v>3571885.6900000004</c:v>
                </c:pt>
                <c:pt idx="6">
                  <c:v>10684688.479999999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E3-4783-B0C7-D08548150DA8}"/>
            </c:ext>
          </c:extLst>
        </c:ser>
        <c:ser>
          <c:idx val="3"/>
          <c:order val="3"/>
          <c:tx>
            <c:v>Long-term Capital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Historico!$D$129:$J$129</c:f>
              <c:numCache>
                <c:formatCode>###\ ##0</c:formatCode>
                <c:ptCount val="7"/>
                <c:pt idx="0">
                  <c:v>13752214.51</c:v>
                </c:pt>
                <c:pt idx="1">
                  <c:v>12289431.539999999</c:v>
                </c:pt>
                <c:pt idx="2">
                  <c:v>10474705.99</c:v>
                </c:pt>
                <c:pt idx="3">
                  <c:v>9479399.5</c:v>
                </c:pt>
                <c:pt idx="4">
                  <c:v>12956598.760000002</c:v>
                </c:pt>
                <c:pt idx="5">
                  <c:v>13404165.960000001</c:v>
                </c:pt>
                <c:pt idx="6">
                  <c:v>16009588.93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E3-4783-B0C7-D08548150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087968"/>
        <c:axId val="841090264"/>
      </c:lineChart>
      <c:catAx>
        <c:axId val="841087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090264"/>
        <c:crosses val="autoZero"/>
        <c:auto val="1"/>
        <c:lblAlgn val="ctr"/>
        <c:lblOffset val="100"/>
        <c:noMultiLvlLbl val="0"/>
      </c:catAx>
      <c:valAx>
        <c:axId val="841090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08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64</xdr:row>
      <xdr:rowOff>0</xdr:rowOff>
    </xdr:from>
    <xdr:ext cx="10192" cy="11430"/>
    <xdr:pic>
      <xdr:nvPicPr>
        <xdr:cNvPr id="4" name="Image 3" descr="799a9d41-b84f-44b7-ba31-3e3ff7855b3c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5" name="Image 4" descr="7a374006-5499-40ca-8a8d-47e44365b53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6" name="Image 5" descr="3fa44815-9775-46e3-ad7c-7a42f3cd7e1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7" name="Image 6" descr="cae93494-212a-4bee-bd1d-9c58c20bd35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8" name="Image 7" descr="5b41d1ab-46ae-4c6f-9801-1da88203a62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9" name="Image 8" descr="3ce569f7-53b3-4598-bf4a-f0a20865023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10" name="Image 9" descr="433e7b3b-e203-4dba-9e46-08f3ecc260a2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11" name="Image 10" descr="4d6a9e64-3213-4835-b87f-93c2f50c925f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12" name="Image 11" descr="a4604f71-42ef-4e3c-a562-26f81a9186b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13" name="Image 12" descr="879e05a6-c8e9-4107-986a-bf1f774a8d3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14" name="Image 13" descr="f6a8ff23-b374-4196-89f0-e7c46957f33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15" name="Image 14" descr="0a4728ae-aa62-46b8-91c7-ed04a491f46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17" name="Image 16" descr="8522b9a7-5da1-4f2c-9914-4a30aa516af4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18" name="Image 17" descr="ed811a68-a980-4beb-91f7-e161df79e02c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19" name="Image 18" descr="01bb110c-6ceb-4a6a-a6ac-3514c54e157b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20" name="Image 19" descr="82e543f9-4b7d-4346-bfb0-6dadeda73ed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21" name="Image 20" descr="d2473350-7ea1-4eac-91d1-d2a96e7a1cf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23" name="Image 22" descr="53f45a6a-dfcb-4d0d-b245-b0a04ed7b8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24" name="Image 23" descr="658b89f0-a6b3-49ce-a43e-d22623367e2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25" name="Image 24" descr="6f792e4e-6d70-4b58-b8e6-ac9c7afbfba2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26" name="Image 25" descr="2a0a68b2-213b-4d00-be2a-4abd1b4271a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28" name="Image 27" descr="ca9a96c0-8041-41cd-be75-c44e5cd52ec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29" name="Image 28" descr="a023fd94-13f7-4103-924f-36497520a47f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30" name="Image 29" descr="458878be-4fed-4105-b8cf-c7271f39f4a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31" name="Image 30" descr="f39a8932-f9f2-4ab8-b5e1-7efdd6c70b5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32" name="Image 31" descr="75ea8464-9cba-4ace-9e35-13ec64669522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33" name="Image 32" descr="59a210e0-00f7-46ed-a34c-da387112ba9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34" name="Image 33" descr="71279ff3-3f33-4228-8355-80c124f2891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35" name="Image 34" descr="e0e448ac-c992-4085-8061-de058d13486f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36" name="Image 35" descr="209524b4-a560-4b38-a115-0d9af54cded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37" name="Image 36" descr="1ba78af1-2b30-4334-ab9f-8f97e42e251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38" name="Image 37" descr="7acf056c-13c5-4920-b0f3-e395a2373d3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39" name="Image 38" descr="8399116a-f02f-43e8-bcf1-2c3d4541c0a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40" name="Image 39" descr="764125c0-dda9-44ab-83b7-157214895774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0192" cy="11430"/>
    <xdr:pic>
      <xdr:nvPicPr>
        <xdr:cNvPr id="41" name="Image 40" descr="29154af9-35e0-48ab-80cd-d9714ff828c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0192" cy="11430"/>
    <xdr:pic>
      <xdr:nvPicPr>
        <xdr:cNvPr id="42" name="Image 41" descr="bee40648-3c05-46a3-9a4c-eae6f1fbe15d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10192" cy="11430"/>
    <xdr:pic>
      <xdr:nvPicPr>
        <xdr:cNvPr id="43" name="Image 42" descr="a0a77377-4812-402c-961a-f930ae4e319c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10192" cy="11430"/>
    <xdr:pic>
      <xdr:nvPicPr>
        <xdr:cNvPr id="44" name="Image 43" descr="1d0e2ee9-808d-4f0e-9e3e-8ebc4413913b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92" cy="11430"/>
        </a:xfrm>
        <a:prstGeom prst="rect">
          <a:avLst/>
        </a:prstGeom>
      </xdr:spPr>
    </xdr:pic>
    <xdr:clientData/>
  </xdr:oneCellAnchor>
  <xdr:twoCellAnchor>
    <xdr:from>
      <xdr:col>10</xdr:col>
      <xdr:colOff>139700</xdr:colOff>
      <xdr:row>97</xdr:row>
      <xdr:rowOff>9525</xdr:rowOff>
    </xdr:from>
    <xdr:to>
      <xdr:col>18</xdr:col>
      <xdr:colOff>158750</xdr:colOff>
      <xdr:row>110</xdr:row>
      <xdr:rowOff>136525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zoomScale="95" zoomScaleNormal="95" workbookViewId="0">
      <pane xSplit="1" topLeftCell="B1" activePane="topRight" state="frozen"/>
      <selection pane="topRight" activeCell="D75" sqref="D75"/>
    </sheetView>
  </sheetViews>
  <sheetFormatPr defaultRowHeight="14.5" x14ac:dyDescent="0.35"/>
  <cols>
    <col min="1" max="1" width="38" style="7" customWidth="1"/>
    <col min="2" max="2" width="46.1796875" style="7" customWidth="1"/>
    <col min="3" max="3" width="10.453125" style="7" hidden="1" customWidth="1"/>
    <col min="4" max="8" width="10.453125" style="7" bestFit="1" customWidth="1"/>
    <col min="9" max="10" width="11.453125" style="7" bestFit="1" customWidth="1"/>
  </cols>
  <sheetData>
    <row r="1" spans="1:12" ht="20" customHeight="1" x14ac:dyDescent="0.35">
      <c r="A1" s="60" t="s">
        <v>0</v>
      </c>
      <c r="B1" s="60"/>
    </row>
    <row r="2" spans="1:12" ht="13.15" customHeight="1" x14ac:dyDescent="0.35">
      <c r="A2" s="12" t="s">
        <v>8</v>
      </c>
      <c r="B2" s="12" t="s">
        <v>20</v>
      </c>
      <c r="C2" s="13"/>
      <c r="D2" s="13"/>
      <c r="E2" s="13"/>
      <c r="F2" s="13"/>
      <c r="G2" s="13"/>
      <c r="H2" s="13"/>
      <c r="I2" s="13"/>
      <c r="J2" s="13"/>
    </row>
    <row r="3" spans="1:12" ht="25.15" customHeight="1" x14ac:dyDescent="0.35">
      <c r="A3" s="14"/>
      <c r="B3" s="15"/>
      <c r="C3" s="16" t="s">
        <v>6</v>
      </c>
      <c r="D3" s="16" t="s">
        <v>5</v>
      </c>
      <c r="E3" s="16" t="s">
        <v>4</v>
      </c>
      <c r="F3" s="16" t="s">
        <v>3</v>
      </c>
      <c r="G3" s="16" t="s">
        <v>2</v>
      </c>
      <c r="H3" s="16" t="s">
        <v>1</v>
      </c>
      <c r="I3" s="16" t="s">
        <v>80</v>
      </c>
      <c r="J3" s="16" t="s">
        <v>81</v>
      </c>
    </row>
    <row r="4" spans="1:12" ht="13.15" customHeight="1" x14ac:dyDescent="0.35">
      <c r="A4" s="17" t="s">
        <v>9</v>
      </c>
      <c r="B4" s="17" t="s">
        <v>206</v>
      </c>
      <c r="C4" s="17"/>
      <c r="D4" s="17"/>
      <c r="E4" s="17"/>
      <c r="F4" s="17"/>
      <c r="G4" s="17"/>
      <c r="H4" s="17"/>
      <c r="I4" s="17"/>
      <c r="J4" s="17"/>
    </row>
    <row r="5" spans="1:12" ht="13.15" customHeight="1" x14ac:dyDescent="0.35">
      <c r="A5" s="18" t="s">
        <v>41</v>
      </c>
      <c r="B5" s="4" t="s">
        <v>21</v>
      </c>
      <c r="C5" s="19">
        <f t="shared" ref="C5:J5" si="0">SUM(C6:C8)</f>
        <v>16654396.030000001</v>
      </c>
      <c r="D5" s="19">
        <f t="shared" si="0"/>
        <v>15101738.75</v>
      </c>
      <c r="E5" s="19">
        <f t="shared" si="0"/>
        <v>15280206.189999999</v>
      </c>
      <c r="F5" s="19">
        <f t="shared" si="0"/>
        <v>14412423.98</v>
      </c>
      <c r="G5" s="19">
        <f t="shared" si="0"/>
        <v>13748345.9</v>
      </c>
      <c r="H5" s="19">
        <f t="shared" si="0"/>
        <v>12941076.66</v>
      </c>
      <c r="I5" s="19">
        <f t="shared" si="0"/>
        <v>11815611.82</v>
      </c>
      <c r="J5" s="19">
        <f t="shared" si="0"/>
        <v>12218218.800000001</v>
      </c>
    </row>
    <row r="6" spans="1:12" ht="13.15" customHeight="1" x14ac:dyDescent="0.35">
      <c r="A6" s="18" t="s">
        <v>10</v>
      </c>
      <c r="B6" s="58" t="s">
        <v>69</v>
      </c>
      <c r="C6" s="19">
        <v>210635.1</v>
      </c>
      <c r="D6" s="19">
        <v>26335.21</v>
      </c>
      <c r="E6" s="19">
        <v>0</v>
      </c>
      <c r="F6" s="19">
        <v>3150</v>
      </c>
      <c r="G6" s="19">
        <v>3150</v>
      </c>
      <c r="H6" s="19">
        <v>6364.8</v>
      </c>
      <c r="I6" s="19">
        <v>13714.8</v>
      </c>
      <c r="J6" s="19">
        <v>0</v>
      </c>
    </row>
    <row r="7" spans="1:12" ht="13.15" customHeight="1" x14ac:dyDescent="0.35">
      <c r="A7" s="18" t="s">
        <v>11</v>
      </c>
      <c r="B7" s="58" t="s">
        <v>22</v>
      </c>
      <c r="C7" s="19">
        <v>16260506.460000001</v>
      </c>
      <c r="D7" s="19">
        <v>15064474.67</v>
      </c>
      <c r="E7" s="19">
        <v>14309236.52</v>
      </c>
      <c r="F7" s="19">
        <v>13558473.41</v>
      </c>
      <c r="G7" s="19">
        <v>13077572.35</v>
      </c>
      <c r="H7" s="19">
        <v>12407247.859999999</v>
      </c>
      <c r="I7" s="19">
        <v>11368717.18</v>
      </c>
      <c r="J7" s="19">
        <v>12171933.810000001</v>
      </c>
    </row>
    <row r="8" spans="1:12" ht="13.15" customHeight="1" x14ac:dyDescent="0.35">
      <c r="A8" s="18" t="s">
        <v>12</v>
      </c>
      <c r="B8" s="58" t="s">
        <v>23</v>
      </c>
      <c r="C8" s="19">
        <v>183254.47</v>
      </c>
      <c r="D8" s="19">
        <v>10928.87</v>
      </c>
      <c r="E8" s="19">
        <v>970969.67</v>
      </c>
      <c r="F8" s="19">
        <v>850800.57</v>
      </c>
      <c r="G8" s="19">
        <v>667623.55000000005</v>
      </c>
      <c r="H8" s="19">
        <v>527464</v>
      </c>
      <c r="I8" s="19">
        <f>426069.27+6225.93+884.64</f>
        <v>433179.84</v>
      </c>
      <c r="J8" s="19">
        <f>232.44+16758.07+29294.48</f>
        <v>46284.99</v>
      </c>
    </row>
    <row r="9" spans="1:12" ht="13.15" customHeight="1" x14ac:dyDescent="0.35">
      <c r="A9" s="21"/>
      <c r="B9" s="22"/>
      <c r="C9" s="21"/>
      <c r="D9" s="21"/>
      <c r="E9" s="21"/>
      <c r="F9" s="21"/>
      <c r="G9" s="21"/>
      <c r="H9" s="21"/>
      <c r="I9" s="21"/>
      <c r="J9" s="21"/>
    </row>
    <row r="10" spans="1:12" ht="13.15" customHeight="1" x14ac:dyDescent="0.35">
      <c r="A10" s="18" t="s">
        <v>86</v>
      </c>
      <c r="B10" s="4" t="s">
        <v>24</v>
      </c>
      <c r="C10" s="19">
        <v>13001083.800000001</v>
      </c>
      <c r="D10" s="19">
        <f>SUM(D11:D18)</f>
        <v>9854842.8590000011</v>
      </c>
      <c r="E10" s="19">
        <f t="shared" ref="E10:J10" si="1">SUM(E11:E18)</f>
        <v>9263211.75</v>
      </c>
      <c r="F10" s="19">
        <f t="shared" si="1"/>
        <v>11408585.189999999</v>
      </c>
      <c r="G10" s="19">
        <f t="shared" si="1"/>
        <v>5316545.0999999996</v>
      </c>
      <c r="H10" s="19">
        <f t="shared" si="1"/>
        <v>5398426.2000000011</v>
      </c>
      <c r="I10" s="19">
        <f t="shared" si="1"/>
        <v>5353304.0500000007</v>
      </c>
      <c r="J10" s="19">
        <f t="shared" si="1"/>
        <v>15601933.769999998</v>
      </c>
      <c r="L10" s="2"/>
    </row>
    <row r="11" spans="1:12" ht="13.15" customHeight="1" x14ac:dyDescent="0.35">
      <c r="A11" s="57" t="s">
        <v>85</v>
      </c>
      <c r="B11" s="58" t="s">
        <v>25</v>
      </c>
      <c r="C11" s="19">
        <v>7590540.4800000004</v>
      </c>
      <c r="D11" s="19">
        <v>6004667.0800000001</v>
      </c>
      <c r="E11" s="19">
        <v>5938078.25</v>
      </c>
      <c r="F11" s="19">
        <v>6161100.6399999997</v>
      </c>
      <c r="G11" s="19">
        <v>1642494.41</v>
      </c>
      <c r="H11" s="19">
        <v>1314131.6000000001</v>
      </c>
      <c r="I11" s="24">
        <v>2106889.9900000002</v>
      </c>
      <c r="J11" s="19">
        <v>8132913.0199999996</v>
      </c>
    </row>
    <row r="12" spans="1:12" ht="12.75" customHeight="1" x14ac:dyDescent="0.35">
      <c r="A12" s="57" t="s">
        <v>87</v>
      </c>
      <c r="B12" s="58" t="s">
        <v>71</v>
      </c>
      <c r="C12" s="19"/>
      <c r="D12" s="19">
        <v>15702.24</v>
      </c>
      <c r="E12" s="19">
        <v>815.79</v>
      </c>
      <c r="F12" s="19">
        <v>3190.54</v>
      </c>
      <c r="G12" s="19">
        <v>43355.85</v>
      </c>
      <c r="H12" s="19">
        <v>12821.34</v>
      </c>
      <c r="I12" s="24">
        <v>23420.080000000002</v>
      </c>
      <c r="J12" s="19">
        <v>0</v>
      </c>
    </row>
    <row r="13" spans="1:12" ht="13.15" customHeight="1" x14ac:dyDescent="0.35">
      <c r="A13" s="57" t="s">
        <v>97</v>
      </c>
      <c r="B13" s="58" t="s">
        <v>70</v>
      </c>
      <c r="C13" s="19"/>
      <c r="D13" s="19">
        <v>2512652.0499999998</v>
      </c>
      <c r="E13" s="19">
        <v>1785833.8</v>
      </c>
      <c r="F13" s="19">
        <v>2771471.18</v>
      </c>
      <c r="G13" s="19">
        <v>1970961.1</v>
      </c>
      <c r="H13" s="19">
        <v>1156814.75</v>
      </c>
      <c r="I13" s="24">
        <v>1667750.51</v>
      </c>
      <c r="J13" s="19">
        <v>3812140.1</v>
      </c>
    </row>
    <row r="14" spans="1:12" ht="13.15" customHeight="1" x14ac:dyDescent="0.35">
      <c r="A14" s="57" t="s">
        <v>93</v>
      </c>
      <c r="B14" s="58" t="s">
        <v>72</v>
      </c>
      <c r="C14" s="19"/>
      <c r="D14" s="19">
        <v>256266.51</v>
      </c>
      <c r="E14" s="19">
        <v>452046.61</v>
      </c>
      <c r="F14" s="19">
        <v>399501.42</v>
      </c>
      <c r="G14" s="19">
        <v>657424.14</v>
      </c>
      <c r="H14" s="19">
        <v>475018.45</v>
      </c>
      <c r="I14" s="24">
        <v>529268.73</v>
      </c>
      <c r="J14" s="19">
        <v>732126.59</v>
      </c>
    </row>
    <row r="15" spans="1:12" ht="13.15" customHeight="1" x14ac:dyDescent="0.35">
      <c r="A15" s="57" t="s">
        <v>130</v>
      </c>
      <c r="B15" s="58" t="s">
        <v>179</v>
      </c>
      <c r="C15" s="19"/>
      <c r="D15" s="19">
        <v>337951.84</v>
      </c>
      <c r="E15" s="19">
        <v>400621.59</v>
      </c>
      <c r="F15" s="19">
        <v>1068074.6599999999</v>
      </c>
      <c r="G15" s="19">
        <v>428660.73</v>
      </c>
      <c r="H15" s="19">
        <v>34632.14</v>
      </c>
      <c r="I15" s="19">
        <v>498151.93</v>
      </c>
      <c r="J15" s="19">
        <v>2662403.34</v>
      </c>
    </row>
    <row r="16" spans="1:12" ht="13.15" customHeight="1" x14ac:dyDescent="0.35">
      <c r="A16" s="57" t="s">
        <v>88</v>
      </c>
      <c r="B16" s="58" t="s">
        <v>73</v>
      </c>
      <c r="C16" s="19"/>
      <c r="D16" s="19">
        <v>182335</v>
      </c>
      <c r="E16" s="19">
        <v>319000</v>
      </c>
      <c r="F16" s="19">
        <v>388223.93</v>
      </c>
      <c r="G16" s="19">
        <v>0</v>
      </c>
      <c r="H16" s="19">
        <v>0</v>
      </c>
      <c r="I16" s="19">
        <v>0</v>
      </c>
      <c r="J16" s="19">
        <v>0</v>
      </c>
    </row>
    <row r="17" spans="1:10" ht="13.15" customHeight="1" x14ac:dyDescent="0.35">
      <c r="A17" s="18" t="s">
        <v>89</v>
      </c>
      <c r="B17" s="58" t="s">
        <v>82</v>
      </c>
      <c r="C17" s="19">
        <v>5291303.5789999999</v>
      </c>
      <c r="D17" s="19">
        <v>439661.56900000013</v>
      </c>
      <c r="E17" s="19">
        <v>142634.17000000001</v>
      </c>
      <c r="F17" s="19">
        <v>215074.52</v>
      </c>
      <c r="G17" s="19">
        <v>292066.52</v>
      </c>
      <c r="H17" s="19">
        <v>397858.89</v>
      </c>
      <c r="I17" s="19">
        <f>392445.95-I12</f>
        <v>369025.87</v>
      </c>
      <c r="J17" s="19">
        <v>5633.12</v>
      </c>
    </row>
    <row r="18" spans="1:10" ht="13.15" customHeight="1" x14ac:dyDescent="0.35">
      <c r="A18" s="18" t="s">
        <v>131</v>
      </c>
      <c r="B18" s="58" t="s">
        <v>169</v>
      </c>
      <c r="C18" s="19">
        <v>119239.74</v>
      </c>
      <c r="D18" s="19">
        <v>105606.57</v>
      </c>
      <c r="E18" s="19">
        <v>224181.54</v>
      </c>
      <c r="F18" s="19">
        <v>401948.3</v>
      </c>
      <c r="G18" s="19">
        <v>281582.34999999998</v>
      </c>
      <c r="H18" s="19">
        <v>2007149.03</v>
      </c>
      <c r="I18" s="19">
        <v>158796.94</v>
      </c>
      <c r="J18" s="19">
        <v>256717.6</v>
      </c>
    </row>
    <row r="19" spans="1:10" ht="13.15" customHeight="1" x14ac:dyDescent="0.35">
      <c r="A19" s="21"/>
      <c r="B19" s="22"/>
      <c r="C19" s="21"/>
      <c r="D19" s="21"/>
      <c r="E19" s="21"/>
      <c r="F19" s="21"/>
      <c r="G19" s="21"/>
      <c r="H19" s="21"/>
      <c r="I19" s="21"/>
      <c r="J19" s="21"/>
    </row>
    <row r="20" spans="1:10" ht="13.15" customHeight="1" x14ac:dyDescent="0.35">
      <c r="A20" s="18" t="s">
        <v>13</v>
      </c>
      <c r="B20" s="4" t="s">
        <v>26</v>
      </c>
      <c r="C20" s="19">
        <f t="shared" ref="C20:J20" si="2">+C5+C10</f>
        <v>29655479.830000002</v>
      </c>
      <c r="D20" s="19">
        <f t="shared" si="2"/>
        <v>24956581.609000001</v>
      </c>
      <c r="E20" s="19">
        <f t="shared" si="2"/>
        <v>24543417.939999998</v>
      </c>
      <c r="F20" s="19">
        <f t="shared" si="2"/>
        <v>25821009.170000002</v>
      </c>
      <c r="G20" s="19">
        <f t="shared" si="2"/>
        <v>19064891</v>
      </c>
      <c r="H20" s="19">
        <f t="shared" si="2"/>
        <v>18339502.859999999</v>
      </c>
      <c r="I20" s="19">
        <f t="shared" si="2"/>
        <v>17168915.870000001</v>
      </c>
      <c r="J20" s="19">
        <f t="shared" si="2"/>
        <v>27820152.57</v>
      </c>
    </row>
    <row r="21" spans="1:10" ht="13.15" customHeight="1" x14ac:dyDescent="0.35">
      <c r="A21" s="21"/>
      <c r="B21" s="22"/>
      <c r="C21" s="21"/>
      <c r="D21" s="21"/>
      <c r="E21" s="21"/>
      <c r="F21" s="21"/>
      <c r="G21" s="25"/>
      <c r="H21" s="25"/>
      <c r="I21" s="25"/>
      <c r="J21" s="25"/>
    </row>
    <row r="22" spans="1:10" ht="13.15" customHeight="1" x14ac:dyDescent="0.35">
      <c r="A22" s="17" t="s">
        <v>14</v>
      </c>
      <c r="B22" s="17" t="s">
        <v>208</v>
      </c>
      <c r="C22" s="17"/>
      <c r="D22" s="17"/>
      <c r="E22" s="17"/>
      <c r="F22" s="17"/>
      <c r="G22" s="17"/>
      <c r="H22" s="17"/>
      <c r="I22" s="17"/>
      <c r="J22" s="17"/>
    </row>
    <row r="23" spans="1:10" ht="13.15" customHeight="1" x14ac:dyDescent="0.35">
      <c r="A23" s="18" t="s">
        <v>7</v>
      </c>
      <c r="B23" s="4" t="s">
        <v>27</v>
      </c>
      <c r="C23" s="19">
        <f t="shared" ref="C23:J23" si="3">+C24+C25+C26</f>
        <v>6957772.7199999997</v>
      </c>
      <c r="D23" s="19">
        <f t="shared" si="3"/>
        <v>8002503.3999999994</v>
      </c>
      <c r="E23" s="19">
        <f t="shared" si="3"/>
        <v>6508499.4500000002</v>
      </c>
      <c r="F23" s="19">
        <f t="shared" si="3"/>
        <v>5208582.08</v>
      </c>
      <c r="G23" s="19">
        <f t="shared" si="3"/>
        <v>4365520.68</v>
      </c>
      <c r="H23" s="19">
        <f t="shared" si="3"/>
        <v>7579719.8100000005</v>
      </c>
      <c r="I23" s="19">
        <f t="shared" si="3"/>
        <v>7946861.5100000007</v>
      </c>
      <c r="J23" s="19">
        <f t="shared" si="3"/>
        <v>9903466.3900000006</v>
      </c>
    </row>
    <row r="24" spans="1:10" ht="13.15" customHeight="1" x14ac:dyDescent="0.35">
      <c r="A24" s="18" t="s">
        <v>15</v>
      </c>
      <c r="B24" s="58" t="s">
        <v>28</v>
      </c>
      <c r="C24" s="19">
        <v>7770000</v>
      </c>
      <c r="D24" s="19">
        <v>10269840</v>
      </c>
      <c r="E24" s="19">
        <v>10269840</v>
      </c>
      <c r="F24" s="19">
        <v>10269840</v>
      </c>
      <c r="G24" s="19">
        <v>10269840</v>
      </c>
      <c r="H24" s="19">
        <v>3667800</v>
      </c>
      <c r="I24" s="19">
        <v>3667800</v>
      </c>
      <c r="J24" s="19">
        <v>3667800</v>
      </c>
    </row>
    <row r="25" spans="1:10" ht="13.15" customHeight="1" x14ac:dyDescent="0.35">
      <c r="A25" s="18" t="s">
        <v>204</v>
      </c>
      <c r="B25" s="58" t="s">
        <v>29</v>
      </c>
      <c r="C25" s="19">
        <f>-812227.28-C26</f>
        <v>-862058.66</v>
      </c>
      <c r="D25" s="19">
        <f>-2267336.6-D26</f>
        <v>-1324426.0799999996</v>
      </c>
      <c r="E25" s="19">
        <f>-3761340.55-E26</f>
        <v>-2431463.1799999988</v>
      </c>
      <c r="F25" s="19">
        <f>-5061257.92-F26</f>
        <v>-3986798.9400000023</v>
      </c>
      <c r="G25" s="19">
        <f>-5904319.32-G26</f>
        <v>-5000411.1609999994</v>
      </c>
      <c r="H25" s="19">
        <f>3911919.81-H26</f>
        <v>-141385.17000000086</v>
      </c>
      <c r="I25" s="19">
        <f>7946861.51-I24-I26</f>
        <v>3854172.2900000005</v>
      </c>
      <c r="J25" s="19">
        <f>9903466.39-J24-J26</f>
        <v>4239075.6500000004</v>
      </c>
    </row>
    <row r="26" spans="1:10" ht="13.15" customHeight="1" x14ac:dyDescent="0.35">
      <c r="A26" s="59" t="s">
        <v>203</v>
      </c>
      <c r="B26" s="58" t="s">
        <v>205</v>
      </c>
      <c r="C26" s="19">
        <f t="shared" ref="C26:J26" si="4">+C62</f>
        <v>49831.380000000005</v>
      </c>
      <c r="D26" s="19">
        <f t="shared" si="4"/>
        <v>-942910.52000000037</v>
      </c>
      <c r="E26" s="19">
        <f t="shared" si="4"/>
        <v>-1329877.370000001</v>
      </c>
      <c r="F26" s="19">
        <f t="shared" si="4"/>
        <v>-1074458.9799999974</v>
      </c>
      <c r="G26" s="19">
        <f t="shared" si="4"/>
        <v>-903908.15900000068</v>
      </c>
      <c r="H26" s="19">
        <f t="shared" si="4"/>
        <v>4053304.9800000009</v>
      </c>
      <c r="I26" s="19">
        <f t="shared" si="4"/>
        <v>424889.21999999939</v>
      </c>
      <c r="J26" s="19">
        <f t="shared" si="4"/>
        <v>1996590.7400000007</v>
      </c>
    </row>
    <row r="27" spans="1:10" ht="13.15" customHeight="1" x14ac:dyDescent="0.35">
      <c r="A27" s="18" t="s">
        <v>16</v>
      </c>
      <c r="B27" s="4" t="s">
        <v>30</v>
      </c>
      <c r="C27" s="19">
        <f>SUM(C28:C29)</f>
        <v>7690564.1399999997</v>
      </c>
      <c r="D27" s="19">
        <f t="shared" ref="D27:J27" si="5">SUM(D28:D30)</f>
        <v>5749711.1100000003</v>
      </c>
      <c r="E27" s="19">
        <f t="shared" si="5"/>
        <v>5780932.0899999999</v>
      </c>
      <c r="F27" s="19">
        <f t="shared" si="5"/>
        <v>5266123.91</v>
      </c>
      <c r="G27" s="19">
        <f t="shared" si="5"/>
        <v>5113878.82</v>
      </c>
      <c r="H27" s="19">
        <f t="shared" si="5"/>
        <v>5376878.9500000002</v>
      </c>
      <c r="I27" s="19">
        <f t="shared" si="5"/>
        <v>5457304.4500000002</v>
      </c>
      <c r="J27" s="19">
        <f t="shared" si="5"/>
        <v>6106122.54</v>
      </c>
    </row>
    <row r="28" spans="1:10" ht="13.15" customHeight="1" x14ac:dyDescent="0.35">
      <c r="A28" s="18" t="s">
        <v>95</v>
      </c>
      <c r="B28" s="58" t="s">
        <v>31</v>
      </c>
      <c r="C28" s="19">
        <v>7690564.1399999997</v>
      </c>
      <c r="D28" s="19">
        <v>5729934.8200000003</v>
      </c>
      <c r="E28" s="19">
        <v>4869250.3099999996</v>
      </c>
      <c r="F28" s="19">
        <v>4469470.51</v>
      </c>
      <c r="G28" s="19">
        <v>1980215.51</v>
      </c>
      <c r="H28" s="19">
        <v>1722068.78</v>
      </c>
      <c r="I28" s="19">
        <v>3912732.59</v>
      </c>
      <c r="J28" s="19">
        <f>2943512.91+1895542.52</f>
        <v>4839055.43</v>
      </c>
    </row>
    <row r="29" spans="1:10" ht="13.15" customHeight="1" x14ac:dyDescent="0.35">
      <c r="A29" s="18" t="s">
        <v>17</v>
      </c>
      <c r="B29" s="58" t="s">
        <v>83</v>
      </c>
      <c r="C29" s="19">
        <v>0</v>
      </c>
      <c r="D29" s="19">
        <v>19776.29</v>
      </c>
      <c r="E29" s="19">
        <v>911681.78</v>
      </c>
      <c r="F29" s="19">
        <v>796653.4</v>
      </c>
      <c r="G29" s="19">
        <v>3133663.31</v>
      </c>
      <c r="H29" s="19">
        <f>3654810.17-207573.36</f>
        <v>3447236.81</v>
      </c>
      <c r="I29" s="19">
        <f>789039+547959.5</f>
        <v>1336998.5</v>
      </c>
      <c r="J29" s="19">
        <f>746290.57+513203.18</f>
        <v>1259493.75</v>
      </c>
    </row>
    <row r="30" spans="1:10" ht="13.15" customHeight="1" x14ac:dyDescent="0.35">
      <c r="A30" s="59" t="s">
        <v>90</v>
      </c>
      <c r="B30" s="58" t="s">
        <v>32</v>
      </c>
      <c r="C30" s="27">
        <v>0</v>
      </c>
      <c r="D30" s="27"/>
      <c r="E30" s="27"/>
      <c r="F30" s="27"/>
      <c r="G30" s="27"/>
      <c r="H30" s="19">
        <v>207573.36</v>
      </c>
      <c r="I30" s="19">
        <v>207573.36</v>
      </c>
      <c r="J30" s="19">
        <v>7573.36</v>
      </c>
    </row>
    <row r="31" spans="1:10" ht="13.15" customHeight="1" x14ac:dyDescent="0.35">
      <c r="A31" s="21"/>
      <c r="B31" s="22"/>
      <c r="C31" s="21"/>
      <c r="D31" s="21"/>
      <c r="E31" s="21"/>
      <c r="F31" s="21"/>
      <c r="G31" s="21"/>
      <c r="H31" s="21"/>
      <c r="I31" s="21"/>
      <c r="J31" s="21"/>
    </row>
    <row r="32" spans="1:10" ht="13.15" customHeight="1" x14ac:dyDescent="0.35">
      <c r="A32" s="18" t="s">
        <v>18</v>
      </c>
      <c r="B32" s="4" t="s">
        <v>33</v>
      </c>
      <c r="C32" s="19">
        <v>15007142.970000001</v>
      </c>
      <c r="D32" s="19">
        <f t="shared" ref="D32:J32" si="6">SUM(D33:D39)</f>
        <v>11204367.1</v>
      </c>
      <c r="E32" s="19">
        <f t="shared" si="6"/>
        <v>12253986.4</v>
      </c>
      <c r="F32" s="19">
        <f t="shared" si="6"/>
        <v>15346303.18</v>
      </c>
      <c r="G32" s="19">
        <f t="shared" si="6"/>
        <v>9585491.5</v>
      </c>
      <c r="H32" s="19">
        <f t="shared" si="6"/>
        <v>5382904.0999999996</v>
      </c>
      <c r="I32" s="19">
        <f t="shared" si="6"/>
        <v>3764749.8200000003</v>
      </c>
      <c r="J32" s="19">
        <f t="shared" si="6"/>
        <v>11810563.640000001</v>
      </c>
    </row>
    <row r="33" spans="1:10" ht="13.15" customHeight="1" x14ac:dyDescent="0.35">
      <c r="A33" s="57" t="s">
        <v>96</v>
      </c>
      <c r="B33" s="58" t="s">
        <v>34</v>
      </c>
      <c r="C33" s="19">
        <v>10098361.16</v>
      </c>
      <c r="D33" s="19">
        <v>6951333.1299999999</v>
      </c>
      <c r="E33" s="19">
        <v>7080309.0800000001</v>
      </c>
      <c r="F33" s="19">
        <v>8425341.3399999999</v>
      </c>
      <c r="G33" s="19">
        <v>771861.09</v>
      </c>
      <c r="H33" s="19">
        <v>484381.12</v>
      </c>
      <c r="I33" s="19">
        <v>1568.37</v>
      </c>
      <c r="J33" s="19">
        <v>3471765.68</v>
      </c>
    </row>
    <row r="34" spans="1:10" ht="13.15" customHeight="1" x14ac:dyDescent="0.35">
      <c r="A34" s="57" t="s">
        <v>94</v>
      </c>
      <c r="B34" s="58" t="s">
        <v>75</v>
      </c>
      <c r="C34" s="19">
        <v>3226515.37</v>
      </c>
      <c r="D34" s="19">
        <v>2733472.79</v>
      </c>
      <c r="E34" s="19">
        <v>3884188.69</v>
      </c>
      <c r="F34" s="19">
        <v>5772090.5899999999</v>
      </c>
      <c r="G34" s="19">
        <v>2193704.2000000002</v>
      </c>
      <c r="H34" s="19">
        <v>1171361.45</v>
      </c>
      <c r="I34" s="19">
        <v>949174.75</v>
      </c>
      <c r="J34" s="19">
        <v>3404814.37</v>
      </c>
    </row>
    <row r="35" spans="1:10" ht="13.15" customHeight="1" x14ac:dyDescent="0.35">
      <c r="A35" s="59" t="s">
        <v>91</v>
      </c>
      <c r="B35" s="58" t="s">
        <v>76</v>
      </c>
      <c r="C35" s="19"/>
      <c r="D35" s="19">
        <v>0</v>
      </c>
      <c r="E35" s="19">
        <v>0</v>
      </c>
      <c r="F35" s="19">
        <v>18500</v>
      </c>
      <c r="G35" s="19">
        <v>0</v>
      </c>
      <c r="H35" s="19">
        <v>0</v>
      </c>
      <c r="I35" s="19">
        <v>0</v>
      </c>
      <c r="J35" s="19">
        <v>0</v>
      </c>
    </row>
    <row r="36" spans="1:10" ht="13.15" customHeight="1" x14ac:dyDescent="0.35">
      <c r="A36" s="57" t="s">
        <v>92</v>
      </c>
      <c r="B36" s="58" t="s">
        <v>72</v>
      </c>
      <c r="C36" s="19"/>
      <c r="D36" s="19">
        <v>577493.27</v>
      </c>
      <c r="E36" s="19">
        <v>223134.97</v>
      </c>
      <c r="F36" s="19">
        <v>235672.22</v>
      </c>
      <c r="G36" s="19">
        <v>85481.26</v>
      </c>
      <c r="H36" s="19">
        <v>90418.04</v>
      </c>
      <c r="I36" s="19">
        <v>118868.26</v>
      </c>
      <c r="J36" s="19">
        <v>836297.75</v>
      </c>
    </row>
    <row r="37" spans="1:10" ht="13.15" customHeight="1" x14ac:dyDescent="0.35">
      <c r="A37" s="57" t="s">
        <v>181</v>
      </c>
      <c r="B37" s="58" t="s">
        <v>180</v>
      </c>
      <c r="C37" s="19"/>
      <c r="D37" s="19">
        <v>29563</v>
      </c>
      <c r="E37" s="19">
        <v>0</v>
      </c>
      <c r="F37" s="19">
        <v>0</v>
      </c>
      <c r="G37" s="19">
        <v>0</v>
      </c>
      <c r="H37" s="19"/>
      <c r="I37" s="19">
        <v>185552.54</v>
      </c>
      <c r="J37" s="19">
        <v>413782.45</v>
      </c>
    </row>
    <row r="38" spans="1:10" ht="13.15" customHeight="1" x14ac:dyDescent="0.35">
      <c r="A38" s="57" t="s">
        <v>99</v>
      </c>
      <c r="B38" s="58" t="s">
        <v>73</v>
      </c>
      <c r="C38" s="19"/>
      <c r="D38" s="19">
        <v>8322.51</v>
      </c>
      <c r="E38" s="19">
        <f>+D38</f>
        <v>8322.51</v>
      </c>
      <c r="F38" s="19">
        <v>10322.51</v>
      </c>
      <c r="G38" s="19">
        <v>5755576.7699999996</v>
      </c>
      <c r="H38" s="19">
        <v>2425952.54</v>
      </c>
      <c r="I38" s="19">
        <f>8278.82+960801.59</f>
        <v>969080.40999999992</v>
      </c>
      <c r="J38" s="19">
        <f>8278.82+969219.68</f>
        <v>977498.5</v>
      </c>
    </row>
    <row r="39" spans="1:10" ht="13.15" customHeight="1" x14ac:dyDescent="0.35">
      <c r="A39" s="57" t="s">
        <v>211</v>
      </c>
      <c r="B39" s="58" t="s">
        <v>83</v>
      </c>
      <c r="C39" s="19">
        <v>1682266.44</v>
      </c>
      <c r="D39" s="19">
        <f>765214.47+138967.93</f>
        <v>904182.39999999991</v>
      </c>
      <c r="E39" s="19">
        <f>890035.34+167995.81</f>
        <v>1058031.1499999999</v>
      </c>
      <c r="F39" s="19">
        <f>773435.78+110940.74</f>
        <v>884376.52</v>
      </c>
      <c r="G39" s="19">
        <f>724287.8+54580.38</f>
        <v>778868.18</v>
      </c>
      <c r="H39" s="19">
        <v>1210790.95</v>
      </c>
      <c r="I39" s="19">
        <f>14047.09+153493.67+454804.92+918159.81</f>
        <v>1540505.49</v>
      </c>
      <c r="J39" s="19">
        <f>3481+677112.23+708033.88+1317777.78</f>
        <v>2706404.8899999997</v>
      </c>
    </row>
    <row r="40" spans="1:10" ht="13.15" customHeight="1" x14ac:dyDescent="0.35">
      <c r="A40" s="21"/>
      <c r="B40" s="22"/>
      <c r="C40" s="21"/>
      <c r="D40" s="21"/>
      <c r="E40" s="21"/>
      <c r="F40" s="21"/>
      <c r="G40" s="21"/>
      <c r="H40" s="21"/>
      <c r="I40" s="21"/>
      <c r="J40" s="21"/>
    </row>
    <row r="41" spans="1:10" ht="13.15" customHeight="1" x14ac:dyDescent="0.35">
      <c r="A41" s="18" t="s">
        <v>100</v>
      </c>
      <c r="B41" s="4" t="s">
        <v>35</v>
      </c>
      <c r="C41" s="19">
        <f t="shared" ref="C41:H41" si="7">+C23+C27+C32</f>
        <v>29655479.829999998</v>
      </c>
      <c r="D41" s="19">
        <f t="shared" si="7"/>
        <v>24956581.609999999</v>
      </c>
      <c r="E41" s="19">
        <f t="shared" si="7"/>
        <v>24543417.939999998</v>
      </c>
      <c r="F41" s="19">
        <f t="shared" si="7"/>
        <v>25821009.170000002</v>
      </c>
      <c r="G41" s="19">
        <f t="shared" si="7"/>
        <v>19064891</v>
      </c>
      <c r="H41" s="19">
        <f t="shared" si="7"/>
        <v>18339502.859999999</v>
      </c>
      <c r="I41" s="19">
        <f>+I23+I27+I32</f>
        <v>17168915.780000001</v>
      </c>
      <c r="J41" s="19">
        <f>+J23+J27+J32</f>
        <v>27820152.57</v>
      </c>
    </row>
    <row r="42" spans="1:10" ht="13.15" customHeight="1" x14ac:dyDescent="0.35">
      <c r="A42" s="21"/>
      <c r="B42" s="21"/>
      <c r="C42" s="21"/>
      <c r="D42" s="28">
        <f t="shared" ref="D42:J42" si="8">+D41-D20</f>
        <v>9.999983012676239E-4</v>
      </c>
      <c r="E42" s="28">
        <f t="shared" si="8"/>
        <v>0</v>
      </c>
      <c r="F42" s="28">
        <f t="shared" si="8"/>
        <v>0</v>
      </c>
      <c r="G42" s="28">
        <f t="shared" si="8"/>
        <v>0</v>
      </c>
      <c r="H42" s="28">
        <f t="shared" si="8"/>
        <v>0</v>
      </c>
      <c r="I42" s="28">
        <f t="shared" si="8"/>
        <v>-8.9999999850988388E-2</v>
      </c>
      <c r="J42" s="28">
        <f t="shared" si="8"/>
        <v>0</v>
      </c>
    </row>
    <row r="43" spans="1:10" ht="13.15" customHeight="1" x14ac:dyDescent="0.35">
      <c r="A43" s="29" t="s">
        <v>19</v>
      </c>
      <c r="B43" s="29" t="s">
        <v>202</v>
      </c>
      <c r="C43" s="13"/>
      <c r="D43" s="13"/>
      <c r="E43" s="13"/>
      <c r="F43" s="13"/>
      <c r="G43" s="13"/>
      <c r="H43" s="13"/>
      <c r="I43" s="13"/>
      <c r="J43" s="13"/>
    </row>
    <row r="44" spans="1:10" ht="25.15" customHeight="1" x14ac:dyDescent="0.35">
      <c r="A44" s="30"/>
      <c r="B44" s="30"/>
      <c r="C44" s="31" t="s">
        <v>6</v>
      </c>
      <c r="D44" s="31" t="s">
        <v>5</v>
      </c>
      <c r="E44" s="31" t="s">
        <v>4</v>
      </c>
      <c r="F44" s="31" t="s">
        <v>3</v>
      </c>
      <c r="G44" s="31" t="s">
        <v>2</v>
      </c>
      <c r="H44" s="31" t="s">
        <v>1</v>
      </c>
      <c r="I44" s="31" t="s">
        <v>80</v>
      </c>
      <c r="J44" s="31" t="s">
        <v>81</v>
      </c>
    </row>
    <row r="45" spans="1:10" ht="13.15" customHeight="1" x14ac:dyDescent="0.35">
      <c r="A45" s="18" t="s">
        <v>105</v>
      </c>
      <c r="B45" s="32" t="s">
        <v>84</v>
      </c>
      <c r="C45" s="19">
        <v>20356349.23</v>
      </c>
      <c r="D45" s="19">
        <v>11525899.060000001</v>
      </c>
      <c r="E45" s="19">
        <v>15526618.130000001</v>
      </c>
      <c r="F45" s="19">
        <v>15423780.65</v>
      </c>
      <c r="G45" s="19">
        <v>14848203</v>
      </c>
      <c r="H45" s="19">
        <v>13080555.99</v>
      </c>
      <c r="I45" s="19">
        <v>11673307.039999999</v>
      </c>
      <c r="J45" s="19">
        <v>19262919.280000001</v>
      </c>
    </row>
    <row r="46" spans="1:10" ht="13.15" customHeight="1" x14ac:dyDescent="0.35">
      <c r="A46" s="18" t="s">
        <v>103</v>
      </c>
      <c r="B46" s="32" t="s">
        <v>79</v>
      </c>
      <c r="C46" s="19"/>
      <c r="D46" s="19">
        <v>286293.03999999998</v>
      </c>
      <c r="E46" s="19">
        <v>-944893.5</v>
      </c>
      <c r="F46" s="19">
        <v>458564.05</v>
      </c>
      <c r="G46" s="19">
        <v>-676297.29</v>
      </c>
      <c r="H46" s="19">
        <v>-355987.95</v>
      </c>
      <c r="I46" s="19">
        <v>69150.31</v>
      </c>
      <c r="J46" s="19">
        <v>1567771.69</v>
      </c>
    </row>
    <row r="47" spans="1:10" ht="13.15" customHeight="1" x14ac:dyDescent="0.35">
      <c r="A47" s="18" t="s">
        <v>104</v>
      </c>
      <c r="B47" s="32" t="s">
        <v>77</v>
      </c>
      <c r="C47" s="19"/>
      <c r="D47" s="19">
        <v>3482445.76</v>
      </c>
      <c r="E47" s="19">
        <f>38979.94+2004359.59</f>
        <v>2043339.53</v>
      </c>
      <c r="F47" s="19">
        <f>6688.31+1369856.45</f>
        <v>1376544.76</v>
      </c>
      <c r="G47" s="19">
        <f>9761.31+1953649.39</f>
        <v>1963410.7</v>
      </c>
      <c r="H47" s="19">
        <v>3317054.73</v>
      </c>
      <c r="I47" s="19">
        <v>529591.93000000005</v>
      </c>
      <c r="J47" s="19">
        <v>1163220.8999999999</v>
      </c>
    </row>
    <row r="48" spans="1:10" ht="13.15" customHeight="1" x14ac:dyDescent="0.35">
      <c r="A48" s="33" t="s">
        <v>106</v>
      </c>
      <c r="B48" s="34" t="s">
        <v>213</v>
      </c>
      <c r="C48" s="19">
        <f t="shared" ref="C48" si="9">SUM(C45:C47)</f>
        <v>20356349.23</v>
      </c>
      <c r="D48" s="19">
        <f t="shared" ref="D48:J48" si="10">SUM(D45:D47)</f>
        <v>15294637.859999999</v>
      </c>
      <c r="E48" s="19">
        <f t="shared" si="10"/>
        <v>16625064.16</v>
      </c>
      <c r="F48" s="19">
        <f t="shared" si="10"/>
        <v>17258889.460000001</v>
      </c>
      <c r="G48" s="19">
        <f t="shared" si="10"/>
        <v>16135316.41</v>
      </c>
      <c r="H48" s="19">
        <f t="shared" si="10"/>
        <v>16041622.770000001</v>
      </c>
      <c r="I48" s="19">
        <f t="shared" si="10"/>
        <v>12272049.279999999</v>
      </c>
      <c r="J48" s="19">
        <f t="shared" si="10"/>
        <v>21993911.870000001</v>
      </c>
    </row>
    <row r="49" spans="1:11" ht="13.15" customHeight="1" x14ac:dyDescent="0.35">
      <c r="A49" s="18" t="s">
        <v>212</v>
      </c>
      <c r="B49" s="32" t="s">
        <v>50</v>
      </c>
      <c r="C49" s="19">
        <v>10744820.939999999</v>
      </c>
      <c r="D49" s="19">
        <v>6107105.7599999998</v>
      </c>
      <c r="E49" s="19">
        <v>7340974.21</v>
      </c>
      <c r="F49" s="19">
        <v>7875823.7699999996</v>
      </c>
      <c r="G49" s="19">
        <v>6992787.2599999998</v>
      </c>
      <c r="H49" s="19">
        <v>2777433.91</v>
      </c>
      <c r="I49" s="19">
        <v>2666136.15</v>
      </c>
      <c r="J49" s="19">
        <v>8868062</v>
      </c>
    </row>
    <row r="50" spans="1:11" ht="13.15" customHeight="1" x14ac:dyDescent="0.35">
      <c r="A50" s="33" t="s">
        <v>215</v>
      </c>
      <c r="B50" s="34" t="s">
        <v>60</v>
      </c>
      <c r="C50" s="35">
        <f>+C45-C49</f>
        <v>9611528.290000001</v>
      </c>
      <c r="D50" s="35">
        <f t="shared" ref="D50:J50" si="11">+D48-D49</f>
        <v>9187532.0999999996</v>
      </c>
      <c r="E50" s="35">
        <f t="shared" si="11"/>
        <v>9284089.9499999993</v>
      </c>
      <c r="F50" s="35">
        <f t="shared" si="11"/>
        <v>9383065.6900000013</v>
      </c>
      <c r="G50" s="35">
        <f t="shared" si="11"/>
        <v>9142529.1500000004</v>
      </c>
      <c r="H50" s="35">
        <f t="shared" si="11"/>
        <v>13264188.860000001</v>
      </c>
      <c r="I50" s="35">
        <f t="shared" si="11"/>
        <v>9605913.129999999</v>
      </c>
      <c r="J50" s="35">
        <f t="shared" si="11"/>
        <v>13125849.870000001</v>
      </c>
    </row>
    <row r="51" spans="1:11" ht="13.15" customHeight="1" x14ac:dyDescent="0.35">
      <c r="A51" s="5" t="s">
        <v>107</v>
      </c>
      <c r="B51" s="32" t="s">
        <v>51</v>
      </c>
      <c r="C51" s="35">
        <f>+C50-C54-C52</f>
        <v>2958354.6600000011</v>
      </c>
      <c r="D51" s="35">
        <v>3311418.59</v>
      </c>
      <c r="E51" s="35">
        <v>4068581.11</v>
      </c>
      <c r="F51" s="35">
        <v>4259254.1399999997</v>
      </c>
      <c r="G51" s="35">
        <v>3834541.97</v>
      </c>
      <c r="H51" s="35">
        <v>4267188.55</v>
      </c>
      <c r="I51" s="35">
        <v>3627121.24</v>
      </c>
      <c r="J51" s="35">
        <v>3694571.46</v>
      </c>
    </row>
    <row r="52" spans="1:11" ht="13.15" customHeight="1" x14ac:dyDescent="0.35">
      <c r="A52" s="18" t="s">
        <v>108</v>
      </c>
      <c r="B52" s="32" t="s">
        <v>52</v>
      </c>
      <c r="C52" s="19">
        <v>4295077.83</v>
      </c>
      <c r="D52" s="19">
        <v>3926746.66</v>
      </c>
      <c r="E52" s="19">
        <v>3666552.83</v>
      </c>
      <c r="F52" s="19">
        <v>3791498.38</v>
      </c>
      <c r="G52" s="19">
        <v>4544047.1500000004</v>
      </c>
      <c r="H52" s="19">
        <v>2647504.13</v>
      </c>
      <c r="I52" s="19">
        <v>3041754.1</v>
      </c>
      <c r="J52" s="19">
        <v>3873564.61</v>
      </c>
    </row>
    <row r="53" spans="1:11" ht="13.15" customHeight="1" x14ac:dyDescent="0.35">
      <c r="A53" s="36" t="s">
        <v>109</v>
      </c>
      <c r="B53" s="32" t="s">
        <v>78</v>
      </c>
      <c r="C53" s="19"/>
      <c r="D53" s="19">
        <v>898026.54</v>
      </c>
      <c r="E53" s="19">
        <v>801239.54</v>
      </c>
      <c r="F53" s="19">
        <v>587384.44999999995</v>
      </c>
      <c r="G53" s="19">
        <v>484214.42</v>
      </c>
      <c r="H53" s="19">
        <v>259125.08</v>
      </c>
      <c r="I53" s="19">
        <v>256399.64</v>
      </c>
      <c r="J53" s="19">
        <v>232923.18</v>
      </c>
    </row>
    <row r="54" spans="1:11" ht="13.15" customHeight="1" x14ac:dyDescent="0.35">
      <c r="A54" s="37" t="s">
        <v>53</v>
      </c>
      <c r="B54" s="34" t="s">
        <v>53</v>
      </c>
      <c r="C54" s="35">
        <f>+C55+C56</f>
        <v>2358095.7999999998</v>
      </c>
      <c r="D54" s="35">
        <f t="shared" ref="D54:J54" si="12">+D50-SUM(D51:D53)</f>
        <v>1051340.3099999996</v>
      </c>
      <c r="E54" s="35">
        <f t="shared" si="12"/>
        <v>747716.46999999881</v>
      </c>
      <c r="F54" s="35">
        <f t="shared" si="12"/>
        <v>744928.72000000253</v>
      </c>
      <c r="G54" s="35">
        <f t="shared" si="12"/>
        <v>279725.6099999994</v>
      </c>
      <c r="H54" s="35">
        <f t="shared" si="12"/>
        <v>6090371.1000000015</v>
      </c>
      <c r="I54" s="35">
        <f t="shared" si="12"/>
        <v>2680638.1499999994</v>
      </c>
      <c r="J54" s="35">
        <f t="shared" si="12"/>
        <v>5324790.620000001</v>
      </c>
      <c r="K54" s="3">
        <f>+J54/J48</f>
        <v>0.2421029351883095</v>
      </c>
    </row>
    <row r="55" spans="1:11" ht="13.15" customHeight="1" x14ac:dyDescent="0.35">
      <c r="A55" s="18" t="s">
        <v>214</v>
      </c>
      <c r="B55" s="32" t="s">
        <v>156</v>
      </c>
      <c r="C55" s="19">
        <v>1362026.09</v>
      </c>
      <c r="D55" s="19">
        <v>1407126.7</v>
      </c>
      <c r="E55" s="19">
        <v>1247508.81</v>
      </c>
      <c r="F55" s="19">
        <v>1091707.3899999999</v>
      </c>
      <c r="G55" s="19">
        <v>879129.41</v>
      </c>
      <c r="H55" s="19">
        <v>1730293.07</v>
      </c>
      <c r="I55" s="19">
        <f>38405.87+213117.77+2146.03+1753234.33</f>
        <v>2006904</v>
      </c>
      <c r="J55" s="19">
        <f>136080.03-200000-8.6+1749536.9</f>
        <v>1685608.3299999998</v>
      </c>
    </row>
    <row r="56" spans="1:11" ht="13.15" customHeight="1" x14ac:dyDescent="0.35">
      <c r="A56" s="33" t="s">
        <v>216</v>
      </c>
      <c r="B56" s="34" t="s">
        <v>54</v>
      </c>
      <c r="C56" s="19">
        <v>996069.71</v>
      </c>
      <c r="D56" s="19">
        <f t="shared" ref="D56:I56" si="13">+D54-D55</f>
        <v>-355786.39000000036</v>
      </c>
      <c r="E56" s="19">
        <f t="shared" si="13"/>
        <v>-499792.34000000125</v>
      </c>
      <c r="F56" s="19">
        <f t="shared" si="13"/>
        <v>-346778.66999999736</v>
      </c>
      <c r="G56" s="19">
        <f t="shared" si="13"/>
        <v>-599403.80000000063</v>
      </c>
      <c r="H56" s="19">
        <f t="shared" si="13"/>
        <v>4360078.0300000012</v>
      </c>
      <c r="I56" s="19">
        <f t="shared" si="13"/>
        <v>673734.14999999944</v>
      </c>
      <c r="J56" s="19">
        <f>+J54-J55</f>
        <v>3639182.290000001</v>
      </c>
    </row>
    <row r="57" spans="1:11" ht="13.15" customHeight="1" x14ac:dyDescent="0.35">
      <c r="A57" s="18" t="s">
        <v>217</v>
      </c>
      <c r="B57" s="32" t="s">
        <v>55</v>
      </c>
      <c r="C57" s="19">
        <v>568990.86</v>
      </c>
      <c r="D57" s="19">
        <v>122742.44</v>
      </c>
      <c r="E57" s="19">
        <v>0</v>
      </c>
      <c r="F57" s="19">
        <v>50865.32</v>
      </c>
      <c r="G57" s="19">
        <v>1775.08</v>
      </c>
      <c r="H57" s="19">
        <v>0</v>
      </c>
      <c r="I57" s="19">
        <v>0</v>
      </c>
      <c r="J57" s="19">
        <v>0</v>
      </c>
    </row>
    <row r="58" spans="1:11" ht="13.15" customHeight="1" x14ac:dyDescent="0.35">
      <c r="A58" s="18" t="s">
        <v>201</v>
      </c>
      <c r="B58" s="32" t="s">
        <v>56</v>
      </c>
      <c r="C58" s="19">
        <v>1552758.23</v>
      </c>
      <c r="D58" s="19">
        <v>792846.09</v>
      </c>
      <c r="E58" s="19">
        <v>883582.84</v>
      </c>
      <c r="F58" s="19">
        <v>748104.15</v>
      </c>
      <c r="G58" s="19">
        <v>534488.91</v>
      </c>
      <c r="H58" s="19">
        <v>273891.15999999997</v>
      </c>
      <c r="I58" s="19">
        <v>168547.92</v>
      </c>
      <c r="J58" s="19">
        <v>559724.43000000005</v>
      </c>
    </row>
    <row r="59" spans="1:11" ht="13.15" customHeight="1" x14ac:dyDescent="0.35">
      <c r="A59" s="18" t="s">
        <v>218</v>
      </c>
      <c r="B59" s="32" t="s">
        <v>61</v>
      </c>
      <c r="C59" s="19">
        <v>983767.37</v>
      </c>
      <c r="D59" s="19">
        <v>670103.65</v>
      </c>
      <c r="E59" s="19">
        <v>883582.84</v>
      </c>
      <c r="F59" s="19">
        <v>697238.83</v>
      </c>
      <c r="G59" s="19">
        <v>532713.82900000003</v>
      </c>
      <c r="H59" s="19">
        <v>273891.15999999997</v>
      </c>
      <c r="I59" s="19">
        <v>168547.92</v>
      </c>
      <c r="J59" s="19">
        <v>559724.43000000005</v>
      </c>
    </row>
    <row r="60" spans="1:11" ht="13.15" customHeight="1" x14ac:dyDescent="0.35">
      <c r="A60" s="33" t="s">
        <v>219</v>
      </c>
      <c r="B60" s="34" t="s">
        <v>57</v>
      </c>
      <c r="C60" s="19">
        <v>12302.34</v>
      </c>
      <c r="D60" s="19">
        <f t="shared" ref="D60:J60" si="14">+D56-D59</f>
        <v>-1025890.0400000004</v>
      </c>
      <c r="E60" s="19">
        <f t="shared" si="14"/>
        <v>-1383375.1800000011</v>
      </c>
      <c r="F60" s="19">
        <f t="shared" si="14"/>
        <v>-1044017.4999999973</v>
      </c>
      <c r="G60" s="19">
        <f t="shared" si="14"/>
        <v>-1132117.6290000007</v>
      </c>
      <c r="H60" s="19">
        <f t="shared" si="14"/>
        <v>4086186.870000001</v>
      </c>
      <c r="I60" s="19">
        <f t="shared" si="14"/>
        <v>505186.2299999994</v>
      </c>
      <c r="J60" s="19">
        <f t="shared" si="14"/>
        <v>3079457.8600000008</v>
      </c>
    </row>
    <row r="61" spans="1:11" ht="13.15" customHeight="1" x14ac:dyDescent="0.35">
      <c r="A61" s="18" t="s">
        <v>220</v>
      </c>
      <c r="B61" s="32" t="s">
        <v>58</v>
      </c>
      <c r="C61" s="19">
        <v>-37529.040000000001</v>
      </c>
      <c r="D61" s="19">
        <v>-82979.520000000004</v>
      </c>
      <c r="E61" s="19">
        <v>-53497.81</v>
      </c>
      <c r="F61" s="19">
        <v>30441.48</v>
      </c>
      <c r="G61" s="19">
        <v>-228209.47</v>
      </c>
      <c r="H61" s="19">
        <v>32881.89</v>
      </c>
      <c r="I61" s="38">
        <v>80297.009999999995</v>
      </c>
      <c r="J61" s="38">
        <v>1082867.1200000001</v>
      </c>
    </row>
    <row r="62" spans="1:11" ht="13.15" customHeight="1" x14ac:dyDescent="0.35">
      <c r="A62" s="33" t="s">
        <v>221</v>
      </c>
      <c r="B62" s="34" t="s">
        <v>59</v>
      </c>
      <c r="C62" s="19">
        <f>+C60-C61</f>
        <v>49831.380000000005</v>
      </c>
      <c r="D62" s="19">
        <f t="shared" ref="D62:J62" si="15">+D60-D61</f>
        <v>-942910.52000000037</v>
      </c>
      <c r="E62" s="19">
        <f t="shared" si="15"/>
        <v>-1329877.370000001</v>
      </c>
      <c r="F62" s="19">
        <f t="shared" si="15"/>
        <v>-1074458.9799999974</v>
      </c>
      <c r="G62" s="19">
        <f t="shared" si="15"/>
        <v>-903908.15900000068</v>
      </c>
      <c r="H62" s="19">
        <f t="shared" si="15"/>
        <v>4053304.9800000009</v>
      </c>
      <c r="I62" s="19">
        <f t="shared" si="15"/>
        <v>424889.21999999939</v>
      </c>
      <c r="J62" s="19">
        <f t="shared" si="15"/>
        <v>1996590.7400000007</v>
      </c>
    </row>
    <row r="63" spans="1:11" ht="13" customHeight="1" x14ac:dyDescent="0.35">
      <c r="A63" s="36"/>
      <c r="B63" s="34"/>
      <c r="C63" s="39"/>
      <c r="D63" s="39"/>
      <c r="E63" s="39"/>
      <c r="F63" s="39"/>
      <c r="G63" s="39"/>
      <c r="H63" s="39"/>
      <c r="I63" s="39"/>
      <c r="J63" s="39"/>
    </row>
    <row r="64" spans="1:11" ht="13.15" customHeight="1" x14ac:dyDescent="0.35">
      <c r="A64" s="4" t="s">
        <v>222</v>
      </c>
      <c r="B64" s="4" t="s">
        <v>49</v>
      </c>
      <c r="C64" s="40">
        <v>146</v>
      </c>
      <c r="D64" s="40">
        <v>129</v>
      </c>
      <c r="E64" s="40">
        <v>127</v>
      </c>
      <c r="F64" s="40">
        <v>124</v>
      </c>
      <c r="G64" s="40">
        <v>70</v>
      </c>
      <c r="H64" s="40">
        <v>68</v>
      </c>
      <c r="I64" s="40">
        <v>113</v>
      </c>
      <c r="J64" s="40">
        <v>113</v>
      </c>
    </row>
    <row r="65" spans="1:10" ht="21" x14ac:dyDescent="0.35">
      <c r="A65" s="41" t="s">
        <v>121</v>
      </c>
      <c r="B65" s="41" t="s">
        <v>209</v>
      </c>
      <c r="C65" s="16" t="str">
        <f>+C3</f>
        <v>31/12/2010
EUR</v>
      </c>
      <c r="D65" s="16" t="s">
        <v>5</v>
      </c>
      <c r="E65" s="16" t="s">
        <v>4</v>
      </c>
      <c r="F65" s="16" t="s">
        <v>3</v>
      </c>
      <c r="G65" s="16" t="s">
        <v>2</v>
      </c>
      <c r="H65" s="16" t="s">
        <v>1</v>
      </c>
      <c r="I65" s="16" t="s">
        <v>80</v>
      </c>
      <c r="J65" s="16" t="s">
        <v>81</v>
      </c>
    </row>
    <row r="66" spans="1:10" ht="13.15" customHeight="1" x14ac:dyDescent="0.35">
      <c r="A66" s="42" t="s">
        <v>9</v>
      </c>
      <c r="B66" s="42" t="s">
        <v>206</v>
      </c>
      <c r="C66" s="43"/>
      <c r="D66" s="44"/>
      <c r="E66" s="44"/>
      <c r="F66" s="44"/>
      <c r="G66" s="44"/>
      <c r="H66" s="44"/>
      <c r="I66" s="44"/>
      <c r="J66" s="44"/>
    </row>
    <row r="67" spans="1:10" ht="13.15" customHeight="1" x14ac:dyDescent="0.35">
      <c r="A67" s="5" t="s">
        <v>41</v>
      </c>
      <c r="B67" s="4" t="s">
        <v>42</v>
      </c>
      <c r="C67" s="45">
        <f t="shared" ref="C67:J67" si="16">+C5</f>
        <v>16654396.030000001</v>
      </c>
      <c r="D67" s="45">
        <f t="shared" si="16"/>
        <v>15101738.75</v>
      </c>
      <c r="E67" s="45">
        <f t="shared" si="16"/>
        <v>15280206.189999999</v>
      </c>
      <c r="F67" s="45">
        <f t="shared" si="16"/>
        <v>14412423.98</v>
      </c>
      <c r="G67" s="45">
        <f t="shared" si="16"/>
        <v>13748345.9</v>
      </c>
      <c r="H67" s="45">
        <f t="shared" si="16"/>
        <v>12941076.66</v>
      </c>
      <c r="I67" s="45">
        <f t="shared" si="16"/>
        <v>11815611.82</v>
      </c>
      <c r="J67" s="45">
        <f t="shared" si="16"/>
        <v>12218218.800000001</v>
      </c>
    </row>
    <row r="68" spans="1:10" ht="13.15" customHeight="1" x14ac:dyDescent="0.35">
      <c r="A68" s="5" t="s">
        <v>102</v>
      </c>
      <c r="B68" s="4" t="s">
        <v>111</v>
      </c>
      <c r="C68" s="45">
        <f t="shared" ref="C68" si="17">SUM(C69:C73)</f>
        <v>12881844.059</v>
      </c>
      <c r="D68" s="45">
        <f>SUM(D69:D73)</f>
        <v>9127239.7200000007</v>
      </c>
      <c r="E68" s="45">
        <f t="shared" ref="E68:J68" si="18">SUM(E69:E73)</f>
        <v>8577396.040000001</v>
      </c>
      <c r="F68" s="45">
        <f t="shared" si="18"/>
        <v>10403338.439999999</v>
      </c>
      <c r="G68" s="45">
        <f t="shared" si="18"/>
        <v>4742896.2300000004</v>
      </c>
      <c r="H68" s="45">
        <f t="shared" si="18"/>
        <v>2993418.2800000007</v>
      </c>
      <c r="I68" s="45">
        <f t="shared" si="18"/>
        <v>4825481.24</v>
      </c>
      <c r="J68" s="45">
        <f t="shared" si="18"/>
        <v>15339583.049999999</v>
      </c>
    </row>
    <row r="69" spans="1:10" ht="13.15" customHeight="1" x14ac:dyDescent="0.35">
      <c r="A69" s="23" t="s">
        <v>85</v>
      </c>
      <c r="B69" s="26" t="s">
        <v>25</v>
      </c>
      <c r="C69" s="45">
        <f t="shared" ref="C69:J70" si="19">+C11</f>
        <v>7590540.4800000004</v>
      </c>
      <c r="D69" s="45">
        <f t="shared" si="19"/>
        <v>6004667.0800000001</v>
      </c>
      <c r="E69" s="45">
        <f t="shared" si="19"/>
        <v>5938078.25</v>
      </c>
      <c r="F69" s="45">
        <f t="shared" si="19"/>
        <v>6161100.6399999997</v>
      </c>
      <c r="G69" s="45">
        <f t="shared" si="19"/>
        <v>1642494.41</v>
      </c>
      <c r="H69" s="45">
        <f t="shared" si="19"/>
        <v>1314131.6000000001</v>
      </c>
      <c r="I69" s="45">
        <f t="shared" si="19"/>
        <v>2106889.9900000002</v>
      </c>
      <c r="J69" s="45">
        <f t="shared" si="19"/>
        <v>8132913.0199999996</v>
      </c>
    </row>
    <row r="70" spans="1:10" ht="13.15" customHeight="1" x14ac:dyDescent="0.35">
      <c r="A70" s="23" t="s">
        <v>87</v>
      </c>
      <c r="B70" s="26" t="s">
        <v>71</v>
      </c>
      <c r="C70" s="45">
        <f t="shared" si="19"/>
        <v>0</v>
      </c>
      <c r="D70" s="45">
        <f t="shared" si="19"/>
        <v>15702.24</v>
      </c>
      <c r="E70" s="45">
        <f t="shared" si="19"/>
        <v>815.79</v>
      </c>
      <c r="F70" s="45">
        <f t="shared" si="19"/>
        <v>3190.54</v>
      </c>
      <c r="G70" s="45">
        <f t="shared" si="19"/>
        <v>43355.85</v>
      </c>
      <c r="H70" s="45">
        <f t="shared" si="19"/>
        <v>12821.34</v>
      </c>
      <c r="I70" s="45">
        <f t="shared" si="19"/>
        <v>23420.080000000002</v>
      </c>
      <c r="J70" s="45">
        <f t="shared" si="19"/>
        <v>0</v>
      </c>
    </row>
    <row r="71" spans="1:10" ht="13.15" customHeight="1" x14ac:dyDescent="0.35">
      <c r="A71" s="23" t="s">
        <v>97</v>
      </c>
      <c r="B71" s="26" t="s">
        <v>70</v>
      </c>
      <c r="C71" s="45">
        <f>+C17</f>
        <v>5291303.5789999999</v>
      </c>
      <c r="D71" s="45">
        <f t="shared" ref="D71:J73" si="20">+D13</f>
        <v>2512652.0499999998</v>
      </c>
      <c r="E71" s="45">
        <f t="shared" si="20"/>
        <v>1785833.8</v>
      </c>
      <c r="F71" s="45">
        <f t="shared" si="20"/>
        <v>2771471.18</v>
      </c>
      <c r="G71" s="45">
        <f t="shared" si="20"/>
        <v>1970961.1</v>
      </c>
      <c r="H71" s="45">
        <f t="shared" si="20"/>
        <v>1156814.75</v>
      </c>
      <c r="I71" s="45">
        <f t="shared" si="20"/>
        <v>1667750.51</v>
      </c>
      <c r="J71" s="45">
        <f t="shared" si="20"/>
        <v>3812140.1</v>
      </c>
    </row>
    <row r="72" spans="1:10" ht="13.15" customHeight="1" x14ac:dyDescent="0.35">
      <c r="A72" s="23" t="s">
        <v>93</v>
      </c>
      <c r="B72" s="26" t="s">
        <v>72</v>
      </c>
      <c r="C72" s="45">
        <f>+C14</f>
        <v>0</v>
      </c>
      <c r="D72" s="45">
        <f t="shared" si="20"/>
        <v>256266.51</v>
      </c>
      <c r="E72" s="45">
        <f t="shared" si="20"/>
        <v>452046.61</v>
      </c>
      <c r="F72" s="45">
        <f t="shared" si="20"/>
        <v>399501.42</v>
      </c>
      <c r="G72" s="45">
        <f t="shared" si="20"/>
        <v>657424.14</v>
      </c>
      <c r="H72" s="45">
        <f t="shared" si="20"/>
        <v>475018.45</v>
      </c>
      <c r="I72" s="45">
        <f t="shared" si="20"/>
        <v>529268.73</v>
      </c>
      <c r="J72" s="45">
        <f t="shared" si="20"/>
        <v>732126.59</v>
      </c>
    </row>
    <row r="73" spans="1:10" ht="13.15" customHeight="1" x14ac:dyDescent="0.35">
      <c r="A73" s="23" t="s">
        <v>130</v>
      </c>
      <c r="B73" s="26" t="s">
        <v>74</v>
      </c>
      <c r="C73" s="45">
        <f>+C15</f>
        <v>0</v>
      </c>
      <c r="D73" s="45">
        <f t="shared" si="20"/>
        <v>337951.84</v>
      </c>
      <c r="E73" s="45">
        <f t="shared" si="20"/>
        <v>400621.59</v>
      </c>
      <c r="F73" s="45">
        <f t="shared" si="20"/>
        <v>1068074.6599999999</v>
      </c>
      <c r="G73" s="45">
        <f t="shared" si="20"/>
        <v>428660.73</v>
      </c>
      <c r="H73" s="45">
        <f t="shared" si="20"/>
        <v>34632.14</v>
      </c>
      <c r="I73" s="45">
        <f t="shared" si="20"/>
        <v>498151.93</v>
      </c>
      <c r="J73" s="45">
        <f t="shared" si="20"/>
        <v>2662403.34</v>
      </c>
    </row>
    <row r="74" spans="1:10" ht="13.15" customHeight="1" x14ac:dyDescent="0.35">
      <c r="A74" s="5" t="s">
        <v>110</v>
      </c>
      <c r="B74" s="4" t="s">
        <v>124</v>
      </c>
      <c r="C74" s="45">
        <f>+C16+C18</f>
        <v>119239.74</v>
      </c>
      <c r="D74" s="45">
        <f t="shared" ref="D74:J74" si="21">+D16+D17+D18</f>
        <v>727603.1390000002</v>
      </c>
      <c r="E74" s="45">
        <f t="shared" si="21"/>
        <v>685815.71000000008</v>
      </c>
      <c r="F74" s="45">
        <f t="shared" si="21"/>
        <v>1005246.75</v>
      </c>
      <c r="G74" s="45">
        <f t="shared" si="21"/>
        <v>573648.87</v>
      </c>
      <c r="H74" s="45">
        <f t="shared" si="21"/>
        <v>2405007.92</v>
      </c>
      <c r="I74" s="45">
        <f t="shared" si="21"/>
        <v>527822.81000000006</v>
      </c>
      <c r="J74" s="45">
        <f t="shared" si="21"/>
        <v>262350.72000000003</v>
      </c>
    </row>
    <row r="75" spans="1:10" ht="13.15" customHeight="1" x14ac:dyDescent="0.35">
      <c r="A75" s="5" t="s">
        <v>112</v>
      </c>
      <c r="B75" s="4" t="s">
        <v>113</v>
      </c>
      <c r="C75" s="45">
        <f t="shared" ref="C75" si="22">C67+C68+C74</f>
        <v>29655479.829</v>
      </c>
      <c r="D75" s="45">
        <f>D67+D68+D74</f>
        <v>24956581.608999997</v>
      </c>
      <c r="E75" s="45">
        <f t="shared" ref="E75:J75" si="23">E67+E68+E74</f>
        <v>24543417.940000001</v>
      </c>
      <c r="F75" s="45">
        <f t="shared" si="23"/>
        <v>25821009.170000002</v>
      </c>
      <c r="G75" s="45">
        <f t="shared" si="23"/>
        <v>19064891.000000004</v>
      </c>
      <c r="H75" s="45">
        <f t="shared" si="23"/>
        <v>18339502.859999999</v>
      </c>
      <c r="I75" s="45">
        <f t="shared" si="23"/>
        <v>17168915.870000001</v>
      </c>
      <c r="J75" s="45">
        <f t="shared" si="23"/>
        <v>27820152.57</v>
      </c>
    </row>
    <row r="76" spans="1:10" ht="13.15" customHeight="1" x14ac:dyDescent="0.35">
      <c r="A76" s="46" t="s">
        <v>198</v>
      </c>
      <c r="B76" s="46" t="s">
        <v>199</v>
      </c>
      <c r="C76" s="47">
        <f t="shared" ref="C76:J76" si="24">+C20-C75</f>
        <v>1.0000020265579224E-3</v>
      </c>
      <c r="D76" s="47">
        <f t="shared" si="24"/>
        <v>0</v>
      </c>
      <c r="E76" s="47">
        <f t="shared" si="24"/>
        <v>0</v>
      </c>
      <c r="F76" s="47">
        <f t="shared" si="24"/>
        <v>0</v>
      </c>
      <c r="G76" s="47">
        <f t="shared" si="24"/>
        <v>0</v>
      </c>
      <c r="H76" s="47">
        <f t="shared" si="24"/>
        <v>0</v>
      </c>
      <c r="I76" s="47">
        <f t="shared" si="24"/>
        <v>0</v>
      </c>
      <c r="J76" s="47">
        <f t="shared" si="24"/>
        <v>0</v>
      </c>
    </row>
    <row r="77" spans="1:10" ht="13.15" customHeight="1" x14ac:dyDescent="0.35">
      <c r="A77" s="42" t="s">
        <v>122</v>
      </c>
      <c r="B77" s="42" t="s">
        <v>207</v>
      </c>
      <c r="C77" s="43"/>
      <c r="D77" s="44"/>
      <c r="E77" s="44"/>
      <c r="F77" s="44"/>
      <c r="G77" s="44"/>
      <c r="H77" s="44"/>
      <c r="I77" s="44"/>
      <c r="J77" s="44"/>
    </row>
    <row r="78" spans="1:10" ht="13.15" customHeight="1" x14ac:dyDescent="0.35">
      <c r="A78" s="5" t="s">
        <v>36</v>
      </c>
      <c r="B78" s="4" t="s">
        <v>27</v>
      </c>
      <c r="C78" s="45">
        <f t="shared" ref="C78:J78" si="25">+C23</f>
        <v>6957772.7199999997</v>
      </c>
      <c r="D78" s="45">
        <f t="shared" si="25"/>
        <v>8002503.3999999994</v>
      </c>
      <c r="E78" s="45">
        <f t="shared" si="25"/>
        <v>6508499.4500000002</v>
      </c>
      <c r="F78" s="45">
        <f t="shared" si="25"/>
        <v>5208582.08</v>
      </c>
      <c r="G78" s="45">
        <f t="shared" si="25"/>
        <v>4365520.68</v>
      </c>
      <c r="H78" s="45">
        <f t="shared" si="25"/>
        <v>7579719.8100000005</v>
      </c>
      <c r="I78" s="45">
        <f t="shared" si="25"/>
        <v>7946861.5100000007</v>
      </c>
      <c r="J78" s="45">
        <f t="shared" si="25"/>
        <v>9903466.3900000006</v>
      </c>
    </row>
    <row r="79" spans="1:10" ht="13.15" customHeight="1" x14ac:dyDescent="0.35">
      <c r="A79" s="5" t="s">
        <v>37</v>
      </c>
      <c r="B79" s="4" t="s">
        <v>38</v>
      </c>
      <c r="C79" s="45">
        <f t="shared" ref="C79:J79" si="26">+C27</f>
        <v>7690564.1399999997</v>
      </c>
      <c r="D79" s="45">
        <f t="shared" si="26"/>
        <v>5749711.1100000003</v>
      </c>
      <c r="E79" s="45">
        <f t="shared" si="26"/>
        <v>5780932.0899999999</v>
      </c>
      <c r="F79" s="45">
        <f t="shared" si="26"/>
        <v>5266123.91</v>
      </c>
      <c r="G79" s="45">
        <f t="shared" si="26"/>
        <v>5113878.82</v>
      </c>
      <c r="H79" s="45">
        <f t="shared" si="26"/>
        <v>5376878.9500000002</v>
      </c>
      <c r="I79" s="45">
        <f t="shared" si="26"/>
        <v>5457304.4500000002</v>
      </c>
      <c r="J79" s="45">
        <f t="shared" si="26"/>
        <v>6106122.54</v>
      </c>
    </row>
    <row r="80" spans="1:10" ht="13.15" customHeight="1" x14ac:dyDescent="0.35">
      <c r="A80" s="5" t="s">
        <v>39</v>
      </c>
      <c r="B80" s="5" t="s">
        <v>40</v>
      </c>
      <c r="C80" s="45">
        <f t="shared" ref="C80:F80" si="27">+C78+C79</f>
        <v>14648336.859999999</v>
      </c>
      <c r="D80" s="45">
        <f t="shared" si="27"/>
        <v>13752214.51</v>
      </c>
      <c r="E80" s="45">
        <f t="shared" si="27"/>
        <v>12289431.539999999</v>
      </c>
      <c r="F80" s="45">
        <f t="shared" si="27"/>
        <v>10474705.99</v>
      </c>
      <c r="G80" s="45">
        <f>+G78+G79</f>
        <v>9479399.5</v>
      </c>
      <c r="H80" s="45">
        <f>+H78+H79</f>
        <v>12956598.760000002</v>
      </c>
      <c r="I80" s="45">
        <f>+I78+I79</f>
        <v>13404165.960000001</v>
      </c>
      <c r="J80" s="45">
        <f>+J78+J79</f>
        <v>16009588.93</v>
      </c>
    </row>
    <row r="81" spans="1:10" ht="13.15" customHeight="1" x14ac:dyDescent="0.35">
      <c r="A81" s="5" t="s">
        <v>114</v>
      </c>
      <c r="B81" s="4" t="s">
        <v>115</v>
      </c>
      <c r="C81" s="45">
        <f t="shared" ref="C81" si="28">SUM(C82:C85)</f>
        <v>3226515.37</v>
      </c>
      <c r="D81" s="45">
        <f>SUM(D82:D85)</f>
        <v>3340529.06</v>
      </c>
      <c r="E81" s="45">
        <f t="shared" ref="E81:J81" si="29">SUM(E82:E85)</f>
        <v>4107323.66</v>
      </c>
      <c r="F81" s="45">
        <f t="shared" si="29"/>
        <v>6026262.8099999996</v>
      </c>
      <c r="G81" s="45">
        <f t="shared" si="29"/>
        <v>2279185.46</v>
      </c>
      <c r="H81" s="45">
        <f t="shared" si="29"/>
        <v>1261779.49</v>
      </c>
      <c r="I81" s="45">
        <f t="shared" si="29"/>
        <v>1253595.55</v>
      </c>
      <c r="J81" s="45">
        <f t="shared" si="29"/>
        <v>4654894.57</v>
      </c>
    </row>
    <row r="82" spans="1:10" ht="13.15" customHeight="1" x14ac:dyDescent="0.35">
      <c r="A82" s="23" t="s">
        <v>94</v>
      </c>
      <c r="B82" s="20" t="s">
        <v>75</v>
      </c>
      <c r="C82" s="45">
        <f t="shared" ref="C82:J85" si="30">+C34</f>
        <v>3226515.37</v>
      </c>
      <c r="D82" s="45">
        <f t="shared" si="30"/>
        <v>2733472.79</v>
      </c>
      <c r="E82" s="45">
        <f t="shared" si="30"/>
        <v>3884188.69</v>
      </c>
      <c r="F82" s="45">
        <f t="shared" si="30"/>
        <v>5772090.5899999999</v>
      </c>
      <c r="G82" s="45">
        <f t="shared" si="30"/>
        <v>2193704.2000000002</v>
      </c>
      <c r="H82" s="45">
        <f t="shared" si="30"/>
        <v>1171361.45</v>
      </c>
      <c r="I82" s="45">
        <f t="shared" si="30"/>
        <v>949174.75</v>
      </c>
      <c r="J82" s="45">
        <f t="shared" si="30"/>
        <v>3404814.37</v>
      </c>
    </row>
    <row r="83" spans="1:10" ht="13.15" customHeight="1" x14ac:dyDescent="0.35">
      <c r="A83" s="18" t="s">
        <v>91</v>
      </c>
      <c r="B83" s="20" t="s">
        <v>76</v>
      </c>
      <c r="C83" s="45">
        <f t="shared" si="30"/>
        <v>0</v>
      </c>
      <c r="D83" s="45">
        <f t="shared" si="30"/>
        <v>0</v>
      </c>
      <c r="E83" s="45">
        <f t="shared" si="30"/>
        <v>0</v>
      </c>
      <c r="F83" s="45">
        <f t="shared" si="30"/>
        <v>18500</v>
      </c>
      <c r="G83" s="45">
        <f t="shared" si="30"/>
        <v>0</v>
      </c>
      <c r="H83" s="45">
        <f t="shared" si="30"/>
        <v>0</v>
      </c>
      <c r="I83" s="45">
        <f t="shared" si="30"/>
        <v>0</v>
      </c>
      <c r="J83" s="45">
        <f t="shared" si="30"/>
        <v>0</v>
      </c>
    </row>
    <row r="84" spans="1:10" ht="13.15" customHeight="1" x14ac:dyDescent="0.35">
      <c r="A84" s="23" t="s">
        <v>92</v>
      </c>
      <c r="B84" s="20" t="s">
        <v>72</v>
      </c>
      <c r="C84" s="45">
        <f t="shared" si="30"/>
        <v>0</v>
      </c>
      <c r="D84" s="45">
        <f t="shared" si="30"/>
        <v>577493.27</v>
      </c>
      <c r="E84" s="45">
        <f t="shared" si="30"/>
        <v>223134.97</v>
      </c>
      <c r="F84" s="45">
        <f t="shared" si="30"/>
        <v>235672.22</v>
      </c>
      <c r="G84" s="45">
        <f t="shared" si="30"/>
        <v>85481.26</v>
      </c>
      <c r="H84" s="45">
        <f t="shared" si="30"/>
        <v>90418.04</v>
      </c>
      <c r="I84" s="45">
        <f t="shared" si="30"/>
        <v>118868.26</v>
      </c>
      <c r="J84" s="45">
        <f t="shared" si="30"/>
        <v>836297.75</v>
      </c>
    </row>
    <row r="85" spans="1:10" ht="13.15" customHeight="1" x14ac:dyDescent="0.35">
      <c r="A85" s="23" t="s">
        <v>98</v>
      </c>
      <c r="B85" s="20" t="s">
        <v>74</v>
      </c>
      <c r="C85" s="45">
        <f t="shared" si="30"/>
        <v>0</v>
      </c>
      <c r="D85" s="45">
        <f t="shared" si="30"/>
        <v>29563</v>
      </c>
      <c r="E85" s="45">
        <f t="shared" si="30"/>
        <v>0</v>
      </c>
      <c r="F85" s="45">
        <f t="shared" si="30"/>
        <v>0</v>
      </c>
      <c r="G85" s="45">
        <f t="shared" si="30"/>
        <v>0</v>
      </c>
      <c r="H85" s="45">
        <f t="shared" si="30"/>
        <v>0</v>
      </c>
      <c r="I85" s="45">
        <f t="shared" si="30"/>
        <v>185552.54</v>
      </c>
      <c r="J85" s="45">
        <f t="shared" si="30"/>
        <v>413782.45</v>
      </c>
    </row>
    <row r="86" spans="1:10" ht="13.15" customHeight="1" x14ac:dyDescent="0.35">
      <c r="A86" s="5" t="s">
        <v>116</v>
      </c>
      <c r="B86" s="4" t="s">
        <v>125</v>
      </c>
      <c r="C86" s="45">
        <f t="shared" ref="C86:J86" si="31">+C38+C39+C33</f>
        <v>11780627.6</v>
      </c>
      <c r="D86" s="45">
        <f t="shared" si="31"/>
        <v>7863838.04</v>
      </c>
      <c r="E86" s="45">
        <f t="shared" si="31"/>
        <v>8146662.7400000002</v>
      </c>
      <c r="F86" s="45">
        <f t="shared" si="31"/>
        <v>9320040.3699999992</v>
      </c>
      <c r="G86" s="45">
        <f t="shared" si="31"/>
        <v>7306306.0399999991</v>
      </c>
      <c r="H86" s="45">
        <f t="shared" si="31"/>
        <v>4121124.6100000003</v>
      </c>
      <c r="I86" s="45">
        <f t="shared" si="31"/>
        <v>2511154.27</v>
      </c>
      <c r="J86" s="45">
        <f t="shared" si="31"/>
        <v>7155669.0700000003</v>
      </c>
    </row>
    <row r="87" spans="1:10" ht="13.15" customHeight="1" x14ac:dyDescent="0.35">
      <c r="A87" s="5" t="s">
        <v>117</v>
      </c>
      <c r="B87" s="4" t="s">
        <v>118</v>
      </c>
      <c r="C87" s="45">
        <f t="shared" ref="C87" si="32">+C86+C79+C81</f>
        <v>22697707.109999999</v>
      </c>
      <c r="D87" s="45">
        <f>+D86+D79+D81</f>
        <v>16954078.210000001</v>
      </c>
      <c r="E87" s="45">
        <f t="shared" ref="E87:J87" si="33">+E86+E79+E81</f>
        <v>18034918.490000002</v>
      </c>
      <c r="F87" s="45">
        <f t="shared" si="33"/>
        <v>20612427.09</v>
      </c>
      <c r="G87" s="45">
        <f t="shared" si="33"/>
        <v>14699370.32</v>
      </c>
      <c r="H87" s="45">
        <f t="shared" si="33"/>
        <v>10759783.050000001</v>
      </c>
      <c r="I87" s="45">
        <f t="shared" si="33"/>
        <v>9222054.2700000014</v>
      </c>
      <c r="J87" s="45">
        <f t="shared" si="33"/>
        <v>17916686.18</v>
      </c>
    </row>
    <row r="88" spans="1:10" ht="13.15" customHeight="1" x14ac:dyDescent="0.35">
      <c r="A88" s="5" t="s">
        <v>120</v>
      </c>
      <c r="B88" s="4" t="s">
        <v>119</v>
      </c>
      <c r="C88" s="45">
        <f t="shared" ref="C88" si="34">+C87+C78</f>
        <v>29655479.829999998</v>
      </c>
      <c r="D88" s="45">
        <f>+D87+D78</f>
        <v>24956581.609999999</v>
      </c>
      <c r="E88" s="45">
        <f t="shared" ref="E88:J88" si="35">+E87+E78</f>
        <v>24543417.940000001</v>
      </c>
      <c r="F88" s="45">
        <f t="shared" si="35"/>
        <v>25821009.170000002</v>
      </c>
      <c r="G88" s="45">
        <f t="shared" si="35"/>
        <v>19064891</v>
      </c>
      <c r="H88" s="45">
        <f t="shared" si="35"/>
        <v>18339502.859999999</v>
      </c>
      <c r="I88" s="45">
        <f t="shared" si="35"/>
        <v>17168915.780000001</v>
      </c>
      <c r="J88" s="45">
        <f t="shared" si="35"/>
        <v>27820152.57</v>
      </c>
    </row>
    <row r="89" spans="1:10" ht="13.15" customHeight="1" x14ac:dyDescent="0.35">
      <c r="A89" s="46" t="s">
        <v>198</v>
      </c>
      <c r="B89" s="46" t="s">
        <v>199</v>
      </c>
      <c r="C89" s="47">
        <f>+C75-C88</f>
        <v>-9.999983012676239E-4</v>
      </c>
      <c r="D89" s="47">
        <f t="shared" ref="D89:J89" si="36">+D75-D88</f>
        <v>-1.0000020265579224E-3</v>
      </c>
      <c r="E89" s="47">
        <f t="shared" si="36"/>
        <v>0</v>
      </c>
      <c r="F89" s="47">
        <f t="shared" si="36"/>
        <v>0</v>
      </c>
      <c r="G89" s="47">
        <f t="shared" si="36"/>
        <v>0</v>
      </c>
      <c r="H89" s="47">
        <f t="shared" si="36"/>
        <v>0</v>
      </c>
      <c r="I89" s="47">
        <f t="shared" si="36"/>
        <v>8.9999999850988388E-2</v>
      </c>
      <c r="J89" s="47">
        <f t="shared" si="36"/>
        <v>0</v>
      </c>
    </row>
    <row r="90" spans="1:10" ht="25.5" customHeight="1" x14ac:dyDescent="0.35">
      <c r="A90" s="41" t="s">
        <v>101</v>
      </c>
      <c r="B90" s="41" t="s">
        <v>210</v>
      </c>
      <c r="C90" s="48" t="str">
        <f>+C$3</f>
        <v>31/12/2010
EUR</v>
      </c>
      <c r="D90" s="48" t="str">
        <f>+D$3</f>
        <v>31/12/2011
EUR</v>
      </c>
      <c r="E90" s="48" t="str">
        <f t="shared" ref="E90:J90" si="37">+E$3</f>
        <v>31/12/2012
EUR</v>
      </c>
      <c r="F90" s="48" t="str">
        <f t="shared" si="37"/>
        <v>31/12/2013
EUR</v>
      </c>
      <c r="G90" s="48" t="str">
        <f t="shared" si="37"/>
        <v>31/12/2014
EUR</v>
      </c>
      <c r="H90" s="48" t="str">
        <f t="shared" si="37"/>
        <v>31/12/2015
EUR</v>
      </c>
      <c r="I90" s="48" t="str">
        <f t="shared" si="37"/>
        <v>31/12/2016
EUR</v>
      </c>
      <c r="J90" s="48" t="str">
        <f t="shared" si="37"/>
        <v>31/12/2017
EUR</v>
      </c>
    </row>
    <row r="91" spans="1:10" ht="13.15" customHeight="1" x14ac:dyDescent="0.35">
      <c r="A91" s="5" t="s">
        <v>41</v>
      </c>
      <c r="B91" s="4" t="s">
        <v>42</v>
      </c>
      <c r="C91" s="45">
        <f t="shared" ref="C91" si="38">+C67</f>
        <v>16654396.030000001</v>
      </c>
      <c r="D91" s="45">
        <f>+D67</f>
        <v>15101738.75</v>
      </c>
      <c r="E91" s="45">
        <f t="shared" ref="E91:J91" si="39">+E67</f>
        <v>15280206.189999999</v>
      </c>
      <c r="F91" s="45">
        <f t="shared" si="39"/>
        <v>14412423.98</v>
      </c>
      <c r="G91" s="45">
        <f t="shared" si="39"/>
        <v>13748345.9</v>
      </c>
      <c r="H91" s="45">
        <f t="shared" si="39"/>
        <v>12941076.66</v>
      </c>
      <c r="I91" s="45">
        <f t="shared" si="39"/>
        <v>11815611.82</v>
      </c>
      <c r="J91" s="45">
        <f t="shared" si="39"/>
        <v>12218218.800000001</v>
      </c>
    </row>
    <row r="92" spans="1:10" ht="13.15" customHeight="1" x14ac:dyDescent="0.35">
      <c r="A92" s="5" t="s">
        <v>43</v>
      </c>
      <c r="B92" s="4" t="s">
        <v>44</v>
      </c>
      <c r="C92" s="45">
        <f t="shared" ref="C92" si="40">+C68-C81</f>
        <v>9655328.6889999993</v>
      </c>
      <c r="D92" s="45">
        <f>+D68-D81</f>
        <v>5786710.6600000001</v>
      </c>
      <c r="E92" s="45">
        <f t="shared" ref="E92:J92" si="41">+E68-E81</f>
        <v>4470072.3800000008</v>
      </c>
      <c r="F92" s="45">
        <f t="shared" si="41"/>
        <v>4377075.63</v>
      </c>
      <c r="G92" s="45">
        <f t="shared" si="41"/>
        <v>2463710.7700000005</v>
      </c>
      <c r="H92" s="45">
        <f t="shared" si="41"/>
        <v>1731638.7900000007</v>
      </c>
      <c r="I92" s="45">
        <f t="shared" si="41"/>
        <v>3571885.6900000004</v>
      </c>
      <c r="J92" s="45">
        <f t="shared" si="41"/>
        <v>10684688.479999999</v>
      </c>
    </row>
    <row r="93" spans="1:10" ht="13.15" customHeight="1" x14ac:dyDescent="0.35">
      <c r="A93" s="5" t="s">
        <v>197</v>
      </c>
      <c r="B93" s="5" t="s">
        <v>196</v>
      </c>
      <c r="C93" s="45">
        <f t="shared" ref="C93" si="42">+C91+C92</f>
        <v>26309724.719000001</v>
      </c>
      <c r="D93" s="45">
        <f>+D91+D92</f>
        <v>20888449.41</v>
      </c>
      <c r="E93" s="45">
        <f t="shared" ref="E93:J93" si="43">+E91+E92</f>
        <v>19750278.57</v>
      </c>
      <c r="F93" s="45">
        <f t="shared" si="43"/>
        <v>18789499.609999999</v>
      </c>
      <c r="G93" s="45">
        <f t="shared" si="43"/>
        <v>16212056.670000002</v>
      </c>
      <c r="H93" s="45">
        <f t="shared" si="43"/>
        <v>14672715.450000001</v>
      </c>
      <c r="I93" s="45">
        <f t="shared" si="43"/>
        <v>15387497.510000002</v>
      </c>
      <c r="J93" s="45">
        <f t="shared" si="43"/>
        <v>22902907.280000001</v>
      </c>
    </row>
    <row r="94" spans="1:10" ht="13.15" customHeight="1" x14ac:dyDescent="0.35">
      <c r="A94" s="5" t="s">
        <v>123</v>
      </c>
      <c r="B94" s="4" t="s">
        <v>124</v>
      </c>
      <c r="C94" s="45">
        <f t="shared" ref="C94" si="44">+C74</f>
        <v>119239.74</v>
      </c>
      <c r="D94" s="45">
        <f>+D74</f>
        <v>727603.1390000002</v>
      </c>
      <c r="E94" s="45">
        <f t="shared" ref="E94:J94" si="45">+E74</f>
        <v>685815.71000000008</v>
      </c>
      <c r="F94" s="45">
        <f t="shared" si="45"/>
        <v>1005246.75</v>
      </c>
      <c r="G94" s="45">
        <f t="shared" si="45"/>
        <v>573648.87</v>
      </c>
      <c r="H94" s="45">
        <f t="shared" si="45"/>
        <v>2405007.92</v>
      </c>
      <c r="I94" s="45">
        <f t="shared" si="45"/>
        <v>527822.81000000006</v>
      </c>
      <c r="J94" s="45">
        <f t="shared" si="45"/>
        <v>262350.72000000003</v>
      </c>
    </row>
    <row r="95" spans="1:10" ht="13.15" customHeight="1" x14ac:dyDescent="0.35">
      <c r="A95" s="5" t="s">
        <v>47</v>
      </c>
      <c r="B95" s="5" t="s">
        <v>48</v>
      </c>
      <c r="C95" s="40">
        <f t="shared" ref="C95" si="46">+C93+C94</f>
        <v>26428964.458999999</v>
      </c>
      <c r="D95" s="40">
        <f>+D93+D94</f>
        <v>21616052.548999999</v>
      </c>
      <c r="E95" s="40">
        <f t="shared" ref="E95:J95" si="47">+E93+E94</f>
        <v>20436094.280000001</v>
      </c>
      <c r="F95" s="40">
        <f t="shared" si="47"/>
        <v>19794746.359999999</v>
      </c>
      <c r="G95" s="40">
        <f t="shared" si="47"/>
        <v>16785705.540000003</v>
      </c>
      <c r="H95" s="40">
        <f t="shared" si="47"/>
        <v>17077723.370000001</v>
      </c>
      <c r="I95" s="40">
        <f t="shared" si="47"/>
        <v>15915320.320000002</v>
      </c>
      <c r="J95" s="40">
        <f t="shared" si="47"/>
        <v>23165258</v>
      </c>
    </row>
    <row r="96" spans="1:10" ht="13.15" customHeight="1" x14ac:dyDescent="0.35">
      <c r="A96" s="5"/>
      <c r="B96" s="4"/>
      <c r="C96" s="45"/>
      <c r="D96" s="45"/>
      <c r="E96" s="45"/>
      <c r="F96" s="45"/>
      <c r="G96" s="45"/>
      <c r="H96" s="45"/>
      <c r="I96" s="45"/>
      <c r="J96" s="45"/>
    </row>
    <row r="97" spans="1:10" ht="13.15" customHeight="1" x14ac:dyDescent="0.35">
      <c r="A97" s="5" t="s">
        <v>36</v>
      </c>
      <c r="B97" s="4" t="s">
        <v>27</v>
      </c>
      <c r="C97" s="45">
        <f t="shared" ref="C97" si="48">+C78</f>
        <v>6957772.7199999997</v>
      </c>
      <c r="D97" s="45">
        <f>+D78</f>
        <v>8002503.3999999994</v>
      </c>
      <c r="E97" s="45">
        <f t="shared" ref="E97:J97" si="49">+E78</f>
        <v>6508499.4500000002</v>
      </c>
      <c r="F97" s="45">
        <f t="shared" si="49"/>
        <v>5208582.08</v>
      </c>
      <c r="G97" s="45">
        <f t="shared" si="49"/>
        <v>4365520.68</v>
      </c>
      <c r="H97" s="45">
        <f t="shared" si="49"/>
        <v>7579719.8100000005</v>
      </c>
      <c r="I97" s="45">
        <f t="shared" si="49"/>
        <v>7946861.5100000007</v>
      </c>
      <c r="J97" s="45">
        <f t="shared" si="49"/>
        <v>9903466.3900000006</v>
      </c>
    </row>
    <row r="98" spans="1:10" ht="13.15" customHeight="1" x14ac:dyDescent="0.35">
      <c r="A98" s="5" t="s">
        <v>126</v>
      </c>
      <c r="B98" s="4" t="s">
        <v>145</v>
      </c>
      <c r="C98" s="45">
        <f t="shared" ref="C98" si="50">+C79</f>
        <v>7690564.1399999997</v>
      </c>
      <c r="D98" s="45">
        <f>+D79</f>
        <v>5749711.1100000003</v>
      </c>
      <c r="E98" s="45">
        <f t="shared" ref="E98:J98" si="51">+E79</f>
        <v>5780932.0899999999</v>
      </c>
      <c r="F98" s="45">
        <f t="shared" si="51"/>
        <v>5266123.91</v>
      </c>
      <c r="G98" s="45">
        <f t="shared" si="51"/>
        <v>5113878.82</v>
      </c>
      <c r="H98" s="45">
        <f t="shared" si="51"/>
        <v>5376878.9500000002</v>
      </c>
      <c r="I98" s="45">
        <f t="shared" si="51"/>
        <v>5457304.4500000002</v>
      </c>
      <c r="J98" s="45">
        <f t="shared" si="51"/>
        <v>6106122.54</v>
      </c>
    </row>
    <row r="99" spans="1:10" ht="13.15" customHeight="1" x14ac:dyDescent="0.35">
      <c r="A99" s="5" t="s">
        <v>116</v>
      </c>
      <c r="B99" s="4" t="s">
        <v>125</v>
      </c>
      <c r="C99" s="45">
        <f t="shared" ref="C99" si="52">+C86</f>
        <v>11780627.6</v>
      </c>
      <c r="D99" s="45">
        <f>+D86</f>
        <v>7863838.04</v>
      </c>
      <c r="E99" s="45">
        <f t="shared" ref="E99:J99" si="53">+E86</f>
        <v>8146662.7400000002</v>
      </c>
      <c r="F99" s="45">
        <f t="shared" si="53"/>
        <v>9320040.3699999992</v>
      </c>
      <c r="G99" s="45">
        <f t="shared" si="53"/>
        <v>7306306.0399999991</v>
      </c>
      <c r="H99" s="45">
        <f t="shared" si="53"/>
        <v>4121124.6100000003</v>
      </c>
      <c r="I99" s="45">
        <f t="shared" si="53"/>
        <v>2511154.27</v>
      </c>
      <c r="J99" s="45">
        <f t="shared" si="53"/>
        <v>7155669.0700000003</v>
      </c>
    </row>
    <row r="100" spans="1:10" ht="13.15" customHeight="1" x14ac:dyDescent="0.35">
      <c r="A100" s="5" t="s">
        <v>127</v>
      </c>
      <c r="B100" s="5" t="s">
        <v>128</v>
      </c>
      <c r="C100" s="45">
        <f t="shared" ref="C100" si="54">SUM(C97:C99)</f>
        <v>26428964.460000001</v>
      </c>
      <c r="D100" s="45">
        <f>SUM(D97:D99)</f>
        <v>21616052.550000001</v>
      </c>
      <c r="E100" s="45">
        <f t="shared" ref="E100:J100" si="55">SUM(E97:E99)</f>
        <v>20436094.280000001</v>
      </c>
      <c r="F100" s="45">
        <f t="shared" si="55"/>
        <v>19794746.359999999</v>
      </c>
      <c r="G100" s="45">
        <f t="shared" si="55"/>
        <v>16785705.539999999</v>
      </c>
      <c r="H100" s="45">
        <f t="shared" si="55"/>
        <v>17077723.370000001</v>
      </c>
      <c r="I100" s="45">
        <f t="shared" si="55"/>
        <v>15915320.23</v>
      </c>
      <c r="J100" s="45">
        <f t="shared" si="55"/>
        <v>23165258</v>
      </c>
    </row>
    <row r="101" spans="1:10" ht="13.15" customHeight="1" x14ac:dyDescent="0.35">
      <c r="A101" s="5"/>
      <c r="B101" s="4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35">
      <c r="A102" s="49" t="s">
        <v>129</v>
      </c>
      <c r="B102" s="49" t="s">
        <v>64</v>
      </c>
      <c r="C102" s="50"/>
      <c r="D102" s="50"/>
      <c r="E102" s="50"/>
      <c r="F102" s="50"/>
      <c r="G102" s="50"/>
      <c r="H102" s="50"/>
      <c r="I102" s="50"/>
      <c r="J102" s="50"/>
    </row>
    <row r="103" spans="1:10" ht="21" x14ac:dyDescent="0.35">
      <c r="A103" s="10" t="s">
        <v>132</v>
      </c>
      <c r="B103" s="10" t="s">
        <v>65</v>
      </c>
      <c r="C103" s="48" t="str">
        <f>+C$3</f>
        <v>31/12/2010
EUR</v>
      </c>
      <c r="D103" s="48" t="str">
        <f>+D$3</f>
        <v>31/12/2011
EUR</v>
      </c>
      <c r="E103" s="48" t="str">
        <f t="shared" ref="E103:J103" si="56">+E$3</f>
        <v>31/12/2012
EUR</v>
      </c>
      <c r="F103" s="48" t="str">
        <f t="shared" si="56"/>
        <v>31/12/2013
EUR</v>
      </c>
      <c r="G103" s="48" t="str">
        <f t="shared" si="56"/>
        <v>31/12/2014
EUR</v>
      </c>
      <c r="H103" s="48" t="str">
        <f t="shared" si="56"/>
        <v>31/12/2015
EUR</v>
      </c>
      <c r="I103" s="48" t="str">
        <f t="shared" si="56"/>
        <v>31/12/2016
EUR</v>
      </c>
      <c r="J103" s="48" t="str">
        <f t="shared" si="56"/>
        <v>31/12/2017
EUR</v>
      </c>
    </row>
    <row r="104" spans="1:10" ht="21" x14ac:dyDescent="0.35">
      <c r="A104" s="6" t="s">
        <v>133</v>
      </c>
      <c r="B104" s="6" t="s">
        <v>143</v>
      </c>
      <c r="C104" s="51"/>
      <c r="D104" s="51"/>
      <c r="E104" s="51"/>
      <c r="F104" s="51"/>
      <c r="G104" s="51"/>
      <c r="H104" s="51"/>
      <c r="I104" s="51"/>
      <c r="J104" s="51"/>
    </row>
    <row r="105" spans="1:10" x14ac:dyDescent="0.35">
      <c r="A105" s="5" t="s">
        <v>140</v>
      </c>
      <c r="B105" s="5" t="s">
        <v>139</v>
      </c>
      <c r="C105" s="51">
        <f t="shared" ref="C105:J105" si="57">(+C32+C27)/C41</f>
        <v>0.76537986369178912</v>
      </c>
      <c r="D105" s="51">
        <f t="shared" si="57"/>
        <v>0.67934296751629519</v>
      </c>
      <c r="E105" s="51">
        <f t="shared" si="57"/>
        <v>0.73481690830873758</v>
      </c>
      <c r="F105" s="51">
        <f t="shared" si="57"/>
        <v>0.79828123503199233</v>
      </c>
      <c r="G105" s="51">
        <f t="shared" si="57"/>
        <v>0.7710178002066731</v>
      </c>
      <c r="H105" s="51">
        <f t="shared" si="57"/>
        <v>0.58669982126222153</v>
      </c>
      <c r="I105" s="51">
        <f t="shared" si="57"/>
        <v>0.53713667118937891</v>
      </c>
      <c r="J105" s="51">
        <f t="shared" si="57"/>
        <v>0.64401825744552343</v>
      </c>
    </row>
    <row r="106" spans="1:10" ht="17.149999999999999" customHeight="1" x14ac:dyDescent="0.35">
      <c r="A106" s="5" t="s">
        <v>135</v>
      </c>
      <c r="B106" s="5" t="s">
        <v>137</v>
      </c>
      <c r="C106" s="51">
        <f t="shared" ref="C106:J106" si="58">C32/(C27+C32)</f>
        <v>0.66117440397264871</v>
      </c>
      <c r="D106" s="51">
        <f t="shared" si="58"/>
        <v>0.66086560184624743</v>
      </c>
      <c r="E106" s="51">
        <f t="shared" si="58"/>
        <v>0.67945892889921233</v>
      </c>
      <c r="F106" s="51">
        <f t="shared" si="58"/>
        <v>0.74451703882291331</v>
      </c>
      <c r="G106" s="51">
        <f t="shared" si="58"/>
        <v>0.65210218474174753</v>
      </c>
      <c r="H106" s="51">
        <f t="shared" si="58"/>
        <v>0.50027998473445046</v>
      </c>
      <c r="I106" s="51">
        <f t="shared" si="58"/>
        <v>0.40823331871370572</v>
      </c>
      <c r="J106" s="51">
        <f t="shared" si="58"/>
        <v>0.65919353173601214</v>
      </c>
    </row>
    <row r="107" spans="1:10" x14ac:dyDescent="0.35">
      <c r="A107" s="5" t="s">
        <v>134</v>
      </c>
      <c r="B107" s="5" t="s">
        <v>138</v>
      </c>
      <c r="C107" s="51">
        <f t="shared" ref="C107:J107" si="59">+C5/C20</f>
        <v>0.56159590488743749</v>
      </c>
      <c r="D107" s="51">
        <f t="shared" si="59"/>
        <v>0.60512048431159804</v>
      </c>
      <c r="E107" s="51">
        <f t="shared" si="59"/>
        <v>0.62257857594874177</v>
      </c>
      <c r="F107" s="51">
        <f t="shared" si="59"/>
        <v>0.55816656448675894</v>
      </c>
      <c r="G107" s="51">
        <f t="shared" si="59"/>
        <v>0.72113425143631826</v>
      </c>
      <c r="H107" s="51">
        <f t="shared" si="59"/>
        <v>0.70563944719709815</v>
      </c>
      <c r="I107" s="51">
        <f t="shared" si="59"/>
        <v>0.68819789842676882</v>
      </c>
      <c r="J107" s="51">
        <f t="shared" si="59"/>
        <v>0.43918590199162233</v>
      </c>
    </row>
    <row r="108" spans="1:10" ht="21" x14ac:dyDescent="0.35">
      <c r="A108" s="6" t="s">
        <v>136</v>
      </c>
      <c r="B108" s="6" t="s">
        <v>144</v>
      </c>
      <c r="C108" s="51"/>
      <c r="D108" s="51"/>
      <c r="E108" s="51"/>
      <c r="F108" s="51"/>
      <c r="G108" s="51"/>
      <c r="H108" s="51"/>
      <c r="I108" s="51"/>
      <c r="J108" s="51"/>
    </row>
    <row r="109" spans="1:10" x14ac:dyDescent="0.35">
      <c r="A109" s="5" t="s">
        <v>141</v>
      </c>
      <c r="B109" s="5" t="s">
        <v>66</v>
      </c>
      <c r="C109" s="51">
        <f t="shared" ref="C109:J109" si="60">(C98+C99)/C100</f>
        <v>0.73673683921553079</v>
      </c>
      <c r="D109" s="51">
        <f t="shared" si="60"/>
        <v>0.62978886262931477</v>
      </c>
      <c r="E109" s="51">
        <f t="shared" si="60"/>
        <v>0.68151940577169812</v>
      </c>
      <c r="F109" s="51">
        <f t="shared" si="60"/>
        <v>0.7368704814260626</v>
      </c>
      <c r="G109" s="51">
        <f t="shared" si="60"/>
        <v>0.73992629207053273</v>
      </c>
      <c r="H109" s="51">
        <f t="shared" si="60"/>
        <v>0.55616333361418069</v>
      </c>
      <c r="I109" s="51">
        <f t="shared" si="60"/>
        <v>0.50067850378402345</v>
      </c>
      <c r="J109" s="51">
        <f t="shared" si="60"/>
        <v>0.57248624686157168</v>
      </c>
    </row>
    <row r="110" spans="1:10" x14ac:dyDescent="0.35">
      <c r="A110" s="5" t="s">
        <v>142</v>
      </c>
      <c r="B110" s="5" t="s">
        <v>67</v>
      </c>
      <c r="C110" s="51">
        <f t="shared" ref="C110:J110" si="61">+C99/(C98+C99)</f>
        <v>0.60502858568224449</v>
      </c>
      <c r="D110" s="51">
        <f t="shared" si="61"/>
        <v>0.57764789720541021</v>
      </c>
      <c r="E110" s="51">
        <f t="shared" si="61"/>
        <v>0.58492961917962405</v>
      </c>
      <c r="F110" s="51">
        <f t="shared" si="61"/>
        <v>0.63896444542169928</v>
      </c>
      <c r="G110" s="51">
        <f t="shared" si="61"/>
        <v>0.58826065170176534</v>
      </c>
      <c r="H110" s="51">
        <f t="shared" si="61"/>
        <v>0.43389377398801482</v>
      </c>
      <c r="I110" s="51">
        <f t="shared" si="61"/>
        <v>0.31513676085153891</v>
      </c>
      <c r="J110" s="51">
        <f t="shared" si="61"/>
        <v>0.53957031451197723</v>
      </c>
    </row>
    <row r="111" spans="1:10" x14ac:dyDescent="0.35">
      <c r="A111" s="6" t="s">
        <v>147</v>
      </c>
      <c r="B111" s="6" t="s">
        <v>146</v>
      </c>
      <c r="C111" s="51"/>
      <c r="D111" s="51"/>
      <c r="E111" s="51"/>
      <c r="F111" s="51"/>
      <c r="G111" s="51"/>
      <c r="H111" s="51"/>
      <c r="I111" s="51"/>
      <c r="J111" s="51"/>
    </row>
    <row r="112" spans="1:10" x14ac:dyDescent="0.35">
      <c r="A112" s="5" t="s">
        <v>153</v>
      </c>
      <c r="B112" s="5" t="s">
        <v>153</v>
      </c>
      <c r="C112" s="45">
        <f t="shared" ref="C112:J112" si="62">(C98+C99-C18)</f>
        <v>19351952</v>
      </c>
      <c r="D112" s="45">
        <f t="shared" si="62"/>
        <v>13507942.58</v>
      </c>
      <c r="E112" s="45">
        <f t="shared" si="62"/>
        <v>13703413.290000001</v>
      </c>
      <c r="F112" s="45">
        <f t="shared" si="62"/>
        <v>14184215.979999999</v>
      </c>
      <c r="G112" s="45">
        <f t="shared" si="62"/>
        <v>12138602.51</v>
      </c>
      <c r="H112" s="45">
        <f t="shared" si="62"/>
        <v>7490854.5300000003</v>
      </c>
      <c r="I112" s="45">
        <f t="shared" si="62"/>
        <v>7809661.7800000003</v>
      </c>
      <c r="J112" s="45">
        <f t="shared" si="62"/>
        <v>13005074.01</v>
      </c>
    </row>
    <row r="113" spans="1:10" x14ac:dyDescent="0.35">
      <c r="A113" s="5" t="s">
        <v>68</v>
      </c>
      <c r="B113" s="5" t="s">
        <v>68</v>
      </c>
      <c r="C113" s="52">
        <f t="shared" ref="C113:J113" si="63">+C112/C54</f>
        <v>8.2066012754867721</v>
      </c>
      <c r="D113" s="52">
        <f t="shared" si="63"/>
        <v>12.848306539297447</v>
      </c>
      <c r="E113" s="52">
        <f t="shared" si="63"/>
        <v>18.327018114232555</v>
      </c>
      <c r="F113" s="52">
        <f t="shared" si="63"/>
        <v>19.041037886148288</v>
      </c>
      <c r="G113" s="52">
        <f t="shared" si="63"/>
        <v>43.394677055132796</v>
      </c>
      <c r="H113" s="52">
        <f t="shared" si="63"/>
        <v>1.2299504261735379</v>
      </c>
      <c r="I113" s="52">
        <f t="shared" si="63"/>
        <v>2.9133591865056467</v>
      </c>
      <c r="J113" s="52">
        <f t="shared" si="63"/>
        <v>2.4423634539079768</v>
      </c>
    </row>
    <row r="114" spans="1:10" x14ac:dyDescent="0.35">
      <c r="A114" s="5" t="s">
        <v>154</v>
      </c>
      <c r="B114" s="5" t="s">
        <v>155</v>
      </c>
      <c r="C114" s="53">
        <f t="shared" ref="C114:J114" si="64">+C54/(C99)</f>
        <v>0.20016724745632397</v>
      </c>
      <c r="D114" s="53">
        <f t="shared" si="64"/>
        <v>0.13369302682128986</v>
      </c>
      <c r="E114" s="53">
        <f t="shared" si="64"/>
        <v>9.1781934991456246E-2</v>
      </c>
      <c r="F114" s="53">
        <f t="shared" si="64"/>
        <v>7.9927628038804585E-2</v>
      </c>
      <c r="G114" s="53">
        <f t="shared" si="64"/>
        <v>3.8285504120492524E-2</v>
      </c>
      <c r="H114" s="53">
        <f t="shared" si="64"/>
        <v>1.4778420155560403</v>
      </c>
      <c r="I114" s="53">
        <f t="shared" si="64"/>
        <v>1.0674924205273932</v>
      </c>
      <c r="J114" s="53">
        <f t="shared" si="64"/>
        <v>0.74413595261470089</v>
      </c>
    </row>
    <row r="115" spans="1:10" x14ac:dyDescent="0.35">
      <c r="A115" s="4" t="s">
        <v>170</v>
      </c>
      <c r="B115" s="5" t="s">
        <v>171</v>
      </c>
      <c r="C115" s="52"/>
      <c r="D115" s="52"/>
      <c r="E115" s="52"/>
      <c r="F115" s="52"/>
      <c r="G115" s="52"/>
      <c r="H115" s="52"/>
      <c r="I115" s="52"/>
      <c r="J115" s="52"/>
    </row>
    <row r="116" spans="1:10" ht="13.15" customHeight="1" x14ac:dyDescent="0.35">
      <c r="A116" s="18" t="s">
        <v>63</v>
      </c>
      <c r="B116" s="5" t="s">
        <v>62</v>
      </c>
      <c r="C116" s="19">
        <f t="shared" ref="C116:J116" si="65">+C62+C55</f>
        <v>1411857.4700000002</v>
      </c>
      <c r="D116" s="19">
        <f t="shared" si="65"/>
        <v>464216.17999999959</v>
      </c>
      <c r="E116" s="19">
        <f t="shared" si="65"/>
        <v>-82368.560000000987</v>
      </c>
      <c r="F116" s="19">
        <f t="shared" si="65"/>
        <v>17248.410000002477</v>
      </c>
      <c r="G116" s="19">
        <f t="shared" si="65"/>
        <v>-24778.749000000651</v>
      </c>
      <c r="H116" s="19">
        <f t="shared" si="65"/>
        <v>5783598.0500000007</v>
      </c>
      <c r="I116" s="19">
        <f t="shared" si="65"/>
        <v>2431793.2199999993</v>
      </c>
      <c r="J116" s="19">
        <f t="shared" si="65"/>
        <v>3682199.0700000003</v>
      </c>
    </row>
    <row r="117" spans="1:10" x14ac:dyDescent="0.35">
      <c r="A117" s="5" t="s">
        <v>157</v>
      </c>
      <c r="B117" s="5" t="s">
        <v>157</v>
      </c>
      <c r="C117" s="52">
        <f t="shared" ref="C117:J117" si="66">(C98+C99)/C116</f>
        <v>13.791187958937524</v>
      </c>
      <c r="D117" s="52">
        <f t="shared" si="66"/>
        <v>29.325882501553505</v>
      </c>
      <c r="E117" s="52">
        <f t="shared" si="66"/>
        <v>-169.08872547971984</v>
      </c>
      <c r="F117" s="52">
        <f t="shared" si="66"/>
        <v>845.65268798677118</v>
      </c>
      <c r="G117" s="52">
        <f t="shared" si="66"/>
        <v>-501.24341870526524</v>
      </c>
      <c r="H117" s="52">
        <f t="shared" si="66"/>
        <v>1.6422309223235179</v>
      </c>
      <c r="I117" s="52">
        <f t="shared" si="66"/>
        <v>3.2767830152927244</v>
      </c>
      <c r="J117" s="52">
        <f t="shared" si="66"/>
        <v>3.6015955025484265</v>
      </c>
    </row>
    <row r="118" spans="1:10" x14ac:dyDescent="0.35">
      <c r="A118" s="5" t="s">
        <v>158</v>
      </c>
      <c r="B118" s="5" t="s">
        <v>158</v>
      </c>
      <c r="C118" s="53">
        <f t="shared" ref="C118:J118" si="67">+C116/(C99)</f>
        <v>0.11984569226176034</v>
      </c>
      <c r="D118" s="53">
        <f t="shared" si="67"/>
        <v>5.9031757475005116E-2</v>
      </c>
      <c r="E118" s="53">
        <f t="shared" si="67"/>
        <v>-1.0110711910973375E-2</v>
      </c>
      <c r="F118" s="53">
        <f t="shared" si="67"/>
        <v>1.850679751937864E-3</v>
      </c>
      <c r="G118" s="53">
        <f t="shared" si="67"/>
        <v>-3.391419530518414E-3</v>
      </c>
      <c r="H118" s="53">
        <f t="shared" si="67"/>
        <v>1.4034028565809371</v>
      </c>
      <c r="I118" s="53">
        <f t="shared" si="67"/>
        <v>0.96839658520860183</v>
      </c>
      <c r="J118" s="53">
        <f t="shared" si="67"/>
        <v>0.51458487445116019</v>
      </c>
    </row>
    <row r="119" spans="1:10" x14ac:dyDescent="0.35">
      <c r="A119" s="6" t="s">
        <v>148</v>
      </c>
      <c r="B119" s="6" t="s">
        <v>149</v>
      </c>
      <c r="C119" s="52"/>
      <c r="D119" s="52"/>
      <c r="E119" s="52"/>
      <c r="F119" s="52"/>
      <c r="G119" s="52"/>
      <c r="H119" s="52"/>
      <c r="I119" s="52"/>
      <c r="J119" s="52"/>
    </row>
    <row r="120" spans="1:10" x14ac:dyDescent="0.35">
      <c r="A120" s="5" t="s">
        <v>86</v>
      </c>
      <c r="B120" s="5" t="s">
        <v>167</v>
      </c>
      <c r="C120" s="45">
        <f t="shared" ref="C120:J120" si="68">+C10</f>
        <v>13001083.800000001</v>
      </c>
      <c r="D120" s="45">
        <f t="shared" si="68"/>
        <v>9854842.8590000011</v>
      </c>
      <c r="E120" s="45">
        <f t="shared" si="68"/>
        <v>9263211.75</v>
      </c>
      <c r="F120" s="45">
        <f t="shared" si="68"/>
        <v>11408585.189999999</v>
      </c>
      <c r="G120" s="45">
        <f t="shared" si="68"/>
        <v>5316545.0999999996</v>
      </c>
      <c r="H120" s="45">
        <f t="shared" si="68"/>
        <v>5398426.2000000011</v>
      </c>
      <c r="I120" s="45">
        <f t="shared" si="68"/>
        <v>5353304.0500000007</v>
      </c>
      <c r="J120" s="45">
        <f t="shared" si="68"/>
        <v>15601933.769999998</v>
      </c>
    </row>
    <row r="121" spans="1:10" x14ac:dyDescent="0.35">
      <c r="A121" s="5" t="s">
        <v>168</v>
      </c>
      <c r="B121" s="5" t="s">
        <v>166</v>
      </c>
      <c r="C121" s="45">
        <f t="shared" ref="C121:J121" si="69">+C32</f>
        <v>15007142.970000001</v>
      </c>
      <c r="D121" s="45">
        <f t="shared" si="69"/>
        <v>11204367.1</v>
      </c>
      <c r="E121" s="45">
        <f t="shared" si="69"/>
        <v>12253986.4</v>
      </c>
      <c r="F121" s="45">
        <f t="shared" si="69"/>
        <v>15346303.18</v>
      </c>
      <c r="G121" s="45">
        <f t="shared" si="69"/>
        <v>9585491.5</v>
      </c>
      <c r="H121" s="45">
        <f t="shared" si="69"/>
        <v>5382904.0999999996</v>
      </c>
      <c r="I121" s="45">
        <f t="shared" si="69"/>
        <v>3764749.8200000003</v>
      </c>
      <c r="J121" s="45">
        <f t="shared" si="69"/>
        <v>11810563.640000001</v>
      </c>
    </row>
    <row r="122" spans="1:10" x14ac:dyDescent="0.35">
      <c r="A122" s="5" t="s">
        <v>162</v>
      </c>
      <c r="B122" s="5" t="s">
        <v>163</v>
      </c>
      <c r="C122" s="45">
        <f t="shared" ref="C122" si="70">+C120-C121</f>
        <v>-2006059.17</v>
      </c>
      <c r="D122" s="45">
        <f>+D120-D121</f>
        <v>-1349524.2409999985</v>
      </c>
      <c r="E122" s="45">
        <f t="shared" ref="E122:J122" si="71">+E120-E121</f>
        <v>-2990774.6500000004</v>
      </c>
      <c r="F122" s="45">
        <f t="shared" si="71"/>
        <v>-3937717.99</v>
      </c>
      <c r="G122" s="45">
        <f t="shared" si="71"/>
        <v>-4268946.4000000004</v>
      </c>
      <c r="H122" s="45">
        <f t="shared" si="71"/>
        <v>15522.10000000149</v>
      </c>
      <c r="I122" s="45">
        <f t="shared" si="71"/>
        <v>1588554.2300000004</v>
      </c>
      <c r="J122" s="45">
        <f t="shared" si="71"/>
        <v>3791370.1299999971</v>
      </c>
    </row>
    <row r="123" spans="1:10" x14ac:dyDescent="0.35">
      <c r="A123" s="5" t="s">
        <v>150</v>
      </c>
      <c r="B123" s="5" t="s">
        <v>159</v>
      </c>
      <c r="C123" s="51">
        <f t="shared" ref="C123" si="72">+C120/C121</f>
        <v>0.8663263771118721</v>
      </c>
      <c r="D123" s="51">
        <f>+D120/D121</f>
        <v>0.87955372856357061</v>
      </c>
      <c r="E123" s="51">
        <f t="shared" ref="E123:J123" si="73">+E120/E121</f>
        <v>0.7559345544891416</v>
      </c>
      <c r="F123" s="51">
        <f t="shared" si="73"/>
        <v>0.74340934466016462</v>
      </c>
      <c r="G123" s="51">
        <f t="shared" si="73"/>
        <v>0.55464501742033778</v>
      </c>
      <c r="H123" s="51">
        <f t="shared" si="73"/>
        <v>1.0028835921487067</v>
      </c>
      <c r="I123" s="51">
        <f t="shared" si="73"/>
        <v>1.4219547927357363</v>
      </c>
      <c r="J123" s="51">
        <f t="shared" si="73"/>
        <v>1.3210151729896606</v>
      </c>
    </row>
    <row r="124" spans="1:10" x14ac:dyDescent="0.35">
      <c r="A124" s="5" t="s">
        <v>151</v>
      </c>
      <c r="B124" s="5" t="s">
        <v>160</v>
      </c>
      <c r="C124" s="51">
        <f t="shared" ref="C124:J124" si="74">(+C120-C11)/C121</f>
        <v>0.36053120376183101</v>
      </c>
      <c r="D124" s="51">
        <f t="shared" si="74"/>
        <v>0.34363170580157099</v>
      </c>
      <c r="E124" s="51">
        <f t="shared" si="74"/>
        <v>0.27135116618050104</v>
      </c>
      <c r="F124" s="51">
        <f t="shared" si="74"/>
        <v>0.34193802171449084</v>
      </c>
      <c r="G124" s="51">
        <f t="shared" si="74"/>
        <v>0.38329288487710822</v>
      </c>
      <c r="H124" s="51">
        <f t="shared" si="74"/>
        <v>0.75875299357460246</v>
      </c>
      <c r="I124" s="51">
        <f t="shared" si="74"/>
        <v>0.86231867062019019</v>
      </c>
      <c r="J124" s="51">
        <f t="shared" si="74"/>
        <v>0.63240171914437082</v>
      </c>
    </row>
    <row r="125" spans="1:10" x14ac:dyDescent="0.35">
      <c r="A125" s="5" t="s">
        <v>152</v>
      </c>
      <c r="B125" s="5" t="s">
        <v>161</v>
      </c>
      <c r="C125" s="51">
        <f t="shared" ref="C125:J125" si="75">+C18/C32</f>
        <v>7.9455323533843825E-3</v>
      </c>
      <c r="D125" s="51">
        <f t="shared" si="75"/>
        <v>9.4254828548057841E-3</v>
      </c>
      <c r="E125" s="51">
        <f t="shared" si="75"/>
        <v>1.8294580447714551E-2</v>
      </c>
      <c r="F125" s="51">
        <f t="shared" si="75"/>
        <v>2.6191864925739074E-2</v>
      </c>
      <c r="G125" s="51">
        <f t="shared" si="75"/>
        <v>2.9375890636385207E-2</v>
      </c>
      <c r="H125" s="51">
        <f t="shared" si="75"/>
        <v>0.37287475175342621</v>
      </c>
      <c r="I125" s="51">
        <f t="shared" si="75"/>
        <v>4.2179944907999221E-2</v>
      </c>
      <c r="J125" s="51">
        <f t="shared" si="75"/>
        <v>2.1736269988889369E-2</v>
      </c>
    </row>
    <row r="126" spans="1:10" ht="21" x14ac:dyDescent="0.35">
      <c r="A126" s="6" t="s">
        <v>165</v>
      </c>
      <c r="B126" s="6" t="s">
        <v>164</v>
      </c>
      <c r="C126" s="52"/>
      <c r="D126" s="52"/>
      <c r="E126" s="52"/>
      <c r="F126" s="52"/>
      <c r="G126" s="52"/>
      <c r="H126" s="52"/>
      <c r="I126" s="52"/>
      <c r="J126" s="52"/>
    </row>
    <row r="127" spans="1:10" x14ac:dyDescent="0.35">
      <c r="A127" s="5" t="s">
        <v>36</v>
      </c>
      <c r="B127" s="5" t="s">
        <v>27</v>
      </c>
      <c r="C127" s="45">
        <f t="shared" ref="C127" si="76">+C97</f>
        <v>6957772.7199999997</v>
      </c>
      <c r="D127" s="45">
        <f>+D97</f>
        <v>8002503.3999999994</v>
      </c>
      <c r="E127" s="45">
        <f t="shared" ref="E127:J127" si="77">+E97</f>
        <v>6508499.4500000002</v>
      </c>
      <c r="F127" s="45">
        <f t="shared" si="77"/>
        <v>5208582.08</v>
      </c>
      <c r="G127" s="45">
        <f t="shared" si="77"/>
        <v>4365520.68</v>
      </c>
      <c r="H127" s="45">
        <f t="shared" si="77"/>
        <v>7579719.8100000005</v>
      </c>
      <c r="I127" s="45">
        <f t="shared" si="77"/>
        <v>7946861.5100000007</v>
      </c>
      <c r="J127" s="45">
        <f t="shared" si="77"/>
        <v>9903466.3900000006</v>
      </c>
    </row>
    <row r="128" spans="1:10" x14ac:dyDescent="0.35">
      <c r="A128" s="5" t="s">
        <v>173</v>
      </c>
      <c r="B128" s="5" t="s">
        <v>174</v>
      </c>
      <c r="C128" s="45">
        <f t="shared" ref="C128" si="78">+C98</f>
        <v>7690564.1399999997</v>
      </c>
      <c r="D128" s="45">
        <f>+D98</f>
        <v>5749711.1100000003</v>
      </c>
      <c r="E128" s="45">
        <f t="shared" ref="E128:J128" si="79">+E98</f>
        <v>5780932.0899999999</v>
      </c>
      <c r="F128" s="45">
        <f t="shared" si="79"/>
        <v>5266123.91</v>
      </c>
      <c r="G128" s="45">
        <f t="shared" si="79"/>
        <v>5113878.82</v>
      </c>
      <c r="H128" s="45">
        <f t="shared" si="79"/>
        <v>5376878.9500000002</v>
      </c>
      <c r="I128" s="45">
        <f t="shared" si="79"/>
        <v>5457304.4500000002</v>
      </c>
      <c r="J128" s="45">
        <f t="shared" si="79"/>
        <v>6106122.54</v>
      </c>
    </row>
    <row r="129" spans="1:11" x14ac:dyDescent="0.35">
      <c r="A129" s="5" t="s">
        <v>172</v>
      </c>
      <c r="B129" s="5" t="s">
        <v>175</v>
      </c>
      <c r="C129" s="45">
        <f t="shared" ref="C129" si="80">+C127+C128</f>
        <v>14648336.859999999</v>
      </c>
      <c r="D129" s="45">
        <f>+D127+D128</f>
        <v>13752214.51</v>
      </c>
      <c r="E129" s="45">
        <f t="shared" ref="E129:J129" si="81">+E127+E128</f>
        <v>12289431.539999999</v>
      </c>
      <c r="F129" s="45">
        <f t="shared" si="81"/>
        <v>10474705.99</v>
      </c>
      <c r="G129" s="45">
        <f t="shared" si="81"/>
        <v>9479399.5</v>
      </c>
      <c r="H129" s="45">
        <f t="shared" si="81"/>
        <v>12956598.760000002</v>
      </c>
      <c r="I129" s="45">
        <f t="shared" si="81"/>
        <v>13404165.960000001</v>
      </c>
      <c r="J129" s="45">
        <f t="shared" si="81"/>
        <v>16009588.93</v>
      </c>
    </row>
    <row r="130" spans="1:11" x14ac:dyDescent="0.35">
      <c r="A130" s="5" t="s">
        <v>41</v>
      </c>
      <c r="B130" s="5" t="s">
        <v>42</v>
      </c>
      <c r="C130" s="45">
        <f t="shared" ref="C130" si="82">+C91</f>
        <v>16654396.030000001</v>
      </c>
      <c r="D130" s="45">
        <f>+D91</f>
        <v>15101738.75</v>
      </c>
      <c r="E130" s="45">
        <f t="shared" ref="E130:J130" si="83">+E91</f>
        <v>15280206.189999999</v>
      </c>
      <c r="F130" s="45">
        <f t="shared" si="83"/>
        <v>14412423.98</v>
      </c>
      <c r="G130" s="45">
        <f t="shared" si="83"/>
        <v>13748345.9</v>
      </c>
      <c r="H130" s="45">
        <f t="shared" si="83"/>
        <v>12941076.66</v>
      </c>
      <c r="I130" s="45">
        <f t="shared" si="83"/>
        <v>11815611.82</v>
      </c>
      <c r="J130" s="45">
        <f t="shared" si="83"/>
        <v>12218218.800000001</v>
      </c>
    </row>
    <row r="131" spans="1:11" x14ac:dyDescent="0.35">
      <c r="A131" s="5" t="s">
        <v>162</v>
      </c>
      <c r="B131" s="5" t="s">
        <v>163</v>
      </c>
      <c r="C131" s="45">
        <f t="shared" ref="C131" si="84">+C129-C130</f>
        <v>-2006059.1700000018</v>
      </c>
      <c r="D131" s="45">
        <f>+D129-D130</f>
        <v>-1349524.2400000002</v>
      </c>
      <c r="E131" s="45">
        <f t="shared" ref="E131:J131" si="85">+E129-E130</f>
        <v>-2990774.6500000004</v>
      </c>
      <c r="F131" s="45">
        <f t="shared" si="85"/>
        <v>-3937717.99</v>
      </c>
      <c r="G131" s="45">
        <f t="shared" si="85"/>
        <v>-4268946.4000000004</v>
      </c>
      <c r="H131" s="45">
        <f t="shared" si="85"/>
        <v>15522.10000000149</v>
      </c>
      <c r="I131" s="45">
        <f t="shared" si="85"/>
        <v>1588554.1400000006</v>
      </c>
      <c r="J131" s="45">
        <f t="shared" si="85"/>
        <v>3791370.129999999</v>
      </c>
    </row>
    <row r="132" spans="1:11" x14ac:dyDescent="0.35">
      <c r="A132" s="5" t="s">
        <v>102</v>
      </c>
      <c r="B132" s="5" t="s">
        <v>111</v>
      </c>
      <c r="C132" s="45">
        <f t="shared" ref="C132" si="86">+C68</f>
        <v>12881844.059</v>
      </c>
      <c r="D132" s="45">
        <f>+D68</f>
        <v>9127239.7200000007</v>
      </c>
      <c r="E132" s="45">
        <f t="shared" ref="E132:J132" si="87">+E68</f>
        <v>8577396.040000001</v>
      </c>
      <c r="F132" s="45">
        <f t="shared" si="87"/>
        <v>10403338.439999999</v>
      </c>
      <c r="G132" s="45">
        <f t="shared" si="87"/>
        <v>4742896.2300000004</v>
      </c>
      <c r="H132" s="45">
        <f t="shared" si="87"/>
        <v>2993418.2800000007</v>
      </c>
      <c r="I132" s="45">
        <f t="shared" si="87"/>
        <v>4825481.24</v>
      </c>
      <c r="J132" s="45">
        <f t="shared" si="87"/>
        <v>15339583.049999999</v>
      </c>
    </row>
    <row r="133" spans="1:11" x14ac:dyDescent="0.35">
      <c r="A133" s="5" t="s">
        <v>114</v>
      </c>
      <c r="B133" s="5" t="s">
        <v>115</v>
      </c>
      <c r="C133" s="45">
        <f t="shared" ref="C133" si="88">+C81</f>
        <v>3226515.37</v>
      </c>
      <c r="D133" s="45">
        <f>+D81</f>
        <v>3340529.06</v>
      </c>
      <c r="E133" s="45">
        <f t="shared" ref="E133:J133" si="89">+E81</f>
        <v>4107323.66</v>
      </c>
      <c r="F133" s="45">
        <f t="shared" si="89"/>
        <v>6026262.8099999996</v>
      </c>
      <c r="G133" s="45">
        <f t="shared" si="89"/>
        <v>2279185.46</v>
      </c>
      <c r="H133" s="45">
        <f t="shared" si="89"/>
        <v>1261779.49</v>
      </c>
      <c r="I133" s="45">
        <f t="shared" si="89"/>
        <v>1253595.55</v>
      </c>
      <c r="J133" s="45">
        <f t="shared" si="89"/>
        <v>4654894.57</v>
      </c>
    </row>
    <row r="134" spans="1:11" x14ac:dyDescent="0.35">
      <c r="A134" s="5" t="s">
        <v>43</v>
      </c>
      <c r="B134" s="5" t="s">
        <v>44</v>
      </c>
      <c r="C134" s="45">
        <f t="shared" ref="C134" si="90">+C132-C133</f>
        <v>9655328.6889999993</v>
      </c>
      <c r="D134" s="45">
        <f>+D132-D133</f>
        <v>5786710.6600000001</v>
      </c>
      <c r="E134" s="45">
        <f t="shared" ref="E134:J134" si="91">+E132-E133</f>
        <v>4470072.3800000008</v>
      </c>
      <c r="F134" s="45">
        <f t="shared" si="91"/>
        <v>4377075.63</v>
      </c>
      <c r="G134" s="45">
        <f t="shared" si="91"/>
        <v>2463710.7700000005</v>
      </c>
      <c r="H134" s="45">
        <f t="shared" si="91"/>
        <v>1731638.7900000007</v>
      </c>
      <c r="I134" s="45">
        <f t="shared" si="91"/>
        <v>3571885.6900000004</v>
      </c>
      <c r="J134" s="45">
        <f t="shared" si="91"/>
        <v>10684688.479999999</v>
      </c>
    </row>
    <row r="135" spans="1:11" x14ac:dyDescent="0.35">
      <c r="A135" s="5" t="s">
        <v>45</v>
      </c>
      <c r="B135" s="5" t="s">
        <v>46</v>
      </c>
      <c r="C135" s="45">
        <f t="shared" ref="C135" si="92">+C131-C134</f>
        <v>-11661387.859000001</v>
      </c>
      <c r="D135" s="45">
        <f>+D131-D134</f>
        <v>-7136234.9000000004</v>
      </c>
      <c r="E135" s="45">
        <f t="shared" ref="E135:J135" si="93">+E131-E134</f>
        <v>-7460847.0300000012</v>
      </c>
      <c r="F135" s="45">
        <f t="shared" si="93"/>
        <v>-8314793.6200000001</v>
      </c>
      <c r="G135" s="45">
        <f t="shared" si="93"/>
        <v>-6732657.1700000009</v>
      </c>
      <c r="H135" s="45">
        <f t="shared" si="93"/>
        <v>-1716116.6899999992</v>
      </c>
      <c r="I135" s="45">
        <f t="shared" si="93"/>
        <v>-1983331.5499999998</v>
      </c>
      <c r="J135" s="45">
        <f t="shared" si="93"/>
        <v>-6893318.3499999996</v>
      </c>
    </row>
    <row r="136" spans="1:11" x14ac:dyDescent="0.35">
      <c r="A136" s="4" t="s">
        <v>176</v>
      </c>
      <c r="B136" s="5" t="s">
        <v>177</v>
      </c>
      <c r="C136" s="51">
        <f t="shared" ref="C136" si="94">+C131/C134</f>
        <v>-0.2077670511916844</v>
      </c>
      <c r="D136" s="51">
        <f>+D131/D134</f>
        <v>-0.23321094129147285</v>
      </c>
      <c r="E136" s="51">
        <f t="shared" ref="E136:J136" si="95">+E131/E134</f>
        <v>-0.66906626912381217</v>
      </c>
      <c r="F136" s="51">
        <f t="shared" si="95"/>
        <v>-0.89962301839413283</v>
      </c>
      <c r="G136" s="51">
        <f t="shared" si="95"/>
        <v>-1.7327303399335303</v>
      </c>
      <c r="H136" s="51">
        <f t="shared" si="95"/>
        <v>8.9638209132526323E-3</v>
      </c>
      <c r="I136" s="51">
        <f t="shared" si="95"/>
        <v>0.44473823573004667</v>
      </c>
      <c r="J136" s="51">
        <f t="shared" si="95"/>
        <v>0.35484142912512873</v>
      </c>
    </row>
    <row r="137" spans="1:11" x14ac:dyDescent="0.35">
      <c r="A137" s="4" t="s">
        <v>178</v>
      </c>
      <c r="B137" s="5" t="s">
        <v>200</v>
      </c>
      <c r="C137" s="53">
        <f t="shared" ref="C137:J137" si="96">+C135/C48</f>
        <v>-0.57286243850710361</v>
      </c>
      <c r="D137" s="53">
        <f t="shared" si="96"/>
        <v>-0.46658410387495114</v>
      </c>
      <c r="E137" s="53">
        <f t="shared" si="96"/>
        <v>-0.44877102176548839</v>
      </c>
      <c r="F137" s="53">
        <f t="shared" si="96"/>
        <v>-0.48176875107003553</v>
      </c>
      <c r="G137" s="53">
        <f t="shared" si="96"/>
        <v>-0.41726217192910942</v>
      </c>
      <c r="H137" s="53">
        <f t="shared" si="96"/>
        <v>-0.10697899549223716</v>
      </c>
      <c r="I137" s="53">
        <f t="shared" si="96"/>
        <v>-0.16161372112743014</v>
      </c>
      <c r="J137" s="53">
        <f t="shared" si="96"/>
        <v>-0.31341938581660778</v>
      </c>
    </row>
    <row r="138" spans="1:11" x14ac:dyDescent="0.35">
      <c r="A138" s="9" t="s">
        <v>223</v>
      </c>
      <c r="B138" s="8" t="s">
        <v>224</v>
      </c>
      <c r="C138" s="54"/>
      <c r="D138" s="53"/>
      <c r="E138" s="53"/>
      <c r="F138" s="53"/>
      <c r="G138" s="53"/>
      <c r="H138" s="53"/>
      <c r="I138" s="53"/>
      <c r="J138" s="53"/>
      <c r="K138" s="1"/>
    </row>
    <row r="139" spans="1:11" x14ac:dyDescent="0.35">
      <c r="A139" s="55" t="s">
        <v>182</v>
      </c>
      <c r="B139" s="55" t="s">
        <v>184</v>
      </c>
      <c r="C139" s="56">
        <f t="shared" ref="C139" si="97">SUM(C140:C144)</f>
        <v>230.97820873527036</v>
      </c>
      <c r="D139" s="56">
        <f>SUM(D140:D144)</f>
        <v>217.81767756088604</v>
      </c>
      <c r="E139" s="56">
        <f t="shared" ref="E139:J139" si="98">SUM(E140:E144)</f>
        <v>188.31503592825831</v>
      </c>
      <c r="F139" s="56">
        <f t="shared" si="98"/>
        <v>220.01522979798955</v>
      </c>
      <c r="G139" s="56">
        <f t="shared" si="98"/>
        <v>107.2899396554195</v>
      </c>
      <c r="H139" s="56">
        <f t="shared" si="98"/>
        <v>68.110171138253236</v>
      </c>
      <c r="I139" s="56">
        <f t="shared" si="98"/>
        <v>143.52131517842145</v>
      </c>
      <c r="J139" s="56">
        <f t="shared" si="98"/>
        <v>254.56807530846942</v>
      </c>
    </row>
    <row r="140" spans="1:11" x14ac:dyDescent="0.35">
      <c r="A140" s="55" t="s">
        <v>85</v>
      </c>
      <c r="B140" s="55" t="s">
        <v>186</v>
      </c>
      <c r="C140" s="56">
        <f t="shared" ref="C140:J144" si="99">+C69/C$48*365</f>
        <v>136.10236510960075</v>
      </c>
      <c r="D140" s="56">
        <f t="shared" si="99"/>
        <v>143.29881519666137</v>
      </c>
      <c r="E140" s="56">
        <f t="shared" si="99"/>
        <v>130.36933514306509</v>
      </c>
      <c r="F140" s="56">
        <f t="shared" si="99"/>
        <v>130.29817120110346</v>
      </c>
      <c r="G140" s="56">
        <f t="shared" si="99"/>
        <v>37.15517219596935</v>
      </c>
      <c r="H140" s="56">
        <f t="shared" si="99"/>
        <v>29.90084238217004</v>
      </c>
      <c r="I140" s="56">
        <f t="shared" si="99"/>
        <v>62.66393075875915</v>
      </c>
      <c r="J140" s="56">
        <f t="shared" si="99"/>
        <v>134.96977117331696</v>
      </c>
    </row>
    <row r="141" spans="1:11" x14ac:dyDescent="0.35">
      <c r="A141" s="55" t="s">
        <v>87</v>
      </c>
      <c r="B141" s="55" t="s">
        <v>187</v>
      </c>
      <c r="C141" s="56">
        <f t="shared" si="99"/>
        <v>0</v>
      </c>
      <c r="D141" s="56">
        <f t="shared" si="99"/>
        <v>0.37472725097918735</v>
      </c>
      <c r="E141" s="56">
        <f t="shared" si="99"/>
        <v>1.7910508322513445E-2</v>
      </c>
      <c r="F141" s="56">
        <f t="shared" si="99"/>
        <v>6.7475204745879397E-2</v>
      </c>
      <c r="G141" s="56">
        <f t="shared" si="99"/>
        <v>0.98076076402148471</v>
      </c>
      <c r="H141" s="56">
        <f t="shared" si="99"/>
        <v>0.29172791101607481</v>
      </c>
      <c r="I141" s="56">
        <f t="shared" si="99"/>
        <v>0.69656900856252113</v>
      </c>
      <c r="J141" s="56">
        <f t="shared" si="99"/>
        <v>0</v>
      </c>
    </row>
    <row r="142" spans="1:11" x14ac:dyDescent="0.35">
      <c r="A142" s="55" t="s">
        <v>97</v>
      </c>
      <c r="B142" s="55" t="s">
        <v>188</v>
      </c>
      <c r="C142" s="56">
        <f t="shared" si="99"/>
        <v>94.875843625669617</v>
      </c>
      <c r="D142" s="56">
        <f t="shared" si="99"/>
        <v>59.963367988498412</v>
      </c>
      <c r="E142" s="56">
        <f t="shared" si="99"/>
        <v>39.207628357206893</v>
      </c>
      <c r="F142" s="56">
        <f t="shared" si="99"/>
        <v>58.612518670132324</v>
      </c>
      <c r="G142" s="56">
        <f t="shared" si="99"/>
        <v>44.5854784139309</v>
      </c>
      <c r="H142" s="56">
        <f t="shared" si="99"/>
        <v>26.321363480734686</v>
      </c>
      <c r="I142" s="56">
        <f t="shared" si="99"/>
        <v>49.602875792069831</v>
      </c>
      <c r="J142" s="56">
        <f t="shared" si="99"/>
        <v>63.264377193305542</v>
      </c>
    </row>
    <row r="143" spans="1:11" x14ac:dyDescent="0.35">
      <c r="A143" s="55" t="s">
        <v>93</v>
      </c>
      <c r="B143" s="55" t="s">
        <v>189</v>
      </c>
      <c r="C143" s="56">
        <f t="shared" si="99"/>
        <v>0</v>
      </c>
      <c r="D143" s="56">
        <f t="shared" si="99"/>
        <v>6.1156908065556523</v>
      </c>
      <c r="E143" s="56">
        <f t="shared" si="99"/>
        <v>9.9245940383787374</v>
      </c>
      <c r="F143" s="56">
        <f t="shared" si="99"/>
        <v>8.4488644902648318</v>
      </c>
      <c r="G143" s="56">
        <f t="shared" si="99"/>
        <v>14.871714009356698</v>
      </c>
      <c r="H143" s="56">
        <f t="shared" si="99"/>
        <v>10.808241581035507</v>
      </c>
      <c r="I143" s="56">
        <f t="shared" si="99"/>
        <v>15.741713714011421</v>
      </c>
      <c r="J143" s="56">
        <f t="shared" si="99"/>
        <v>12.15000800810247</v>
      </c>
    </row>
    <row r="144" spans="1:11" x14ac:dyDescent="0.35">
      <c r="A144" s="55" t="s">
        <v>130</v>
      </c>
      <c r="B144" s="55" t="s">
        <v>193</v>
      </c>
      <c r="C144" s="56">
        <f t="shared" si="99"/>
        <v>0</v>
      </c>
      <c r="D144" s="56">
        <f t="shared" si="99"/>
        <v>8.0650763181914282</v>
      </c>
      <c r="E144" s="56">
        <f t="shared" si="99"/>
        <v>8.7955678812850966</v>
      </c>
      <c r="F144" s="56">
        <f t="shared" si="99"/>
        <v>22.588200231743066</v>
      </c>
      <c r="G144" s="56">
        <f t="shared" si="99"/>
        <v>9.6968142721410686</v>
      </c>
      <c r="H144" s="56">
        <f t="shared" si="99"/>
        <v>0.78799578329692876</v>
      </c>
      <c r="I144" s="56">
        <f t="shared" si="99"/>
        <v>14.816225905018531</v>
      </c>
      <c r="J144" s="56">
        <f t="shared" si="99"/>
        <v>44.183918933744458</v>
      </c>
    </row>
    <row r="145" spans="1:10" x14ac:dyDescent="0.35">
      <c r="A145" s="55" t="s">
        <v>183</v>
      </c>
      <c r="B145" s="55" t="s">
        <v>185</v>
      </c>
      <c r="C145" s="56">
        <f t="shared" ref="C145" si="100">SUM(C146:C149)</f>
        <v>57.853109943427704</v>
      </c>
      <c r="D145" s="56">
        <f>SUM(D146:D149)</f>
        <v>79.720299235643381</v>
      </c>
      <c r="E145" s="56">
        <f t="shared" ref="E145:J145" si="101">SUM(E146:E149)</f>
        <v>90.175479713757696</v>
      </c>
      <c r="F145" s="56">
        <f t="shared" si="101"/>
        <v>127.4465504137947</v>
      </c>
      <c r="G145" s="56">
        <f t="shared" si="101"/>
        <v>51.557879111959735</v>
      </c>
      <c r="H145" s="56">
        <f t="shared" si="101"/>
        <v>28.70965864571318</v>
      </c>
      <c r="I145" s="56">
        <f t="shared" si="101"/>
        <v>37.284920008893579</v>
      </c>
      <c r="J145" s="56">
        <f t="shared" si="101"/>
        <v>77.250310362819505</v>
      </c>
    </row>
    <row r="146" spans="1:10" x14ac:dyDescent="0.35">
      <c r="A146" s="55" t="s">
        <v>94</v>
      </c>
      <c r="B146" s="55" t="s">
        <v>190</v>
      </c>
      <c r="C146" s="56">
        <f t="shared" ref="C146:J149" si="102">+C82/C$48*365</f>
        <v>57.853109943427704</v>
      </c>
      <c r="D146" s="56">
        <f t="shared" si="102"/>
        <v>65.233160633330627</v>
      </c>
      <c r="E146" s="56">
        <f t="shared" si="102"/>
        <v>85.27659551901543</v>
      </c>
      <c r="F146" s="56">
        <f t="shared" si="102"/>
        <v>122.07118367800241</v>
      </c>
      <c r="G146" s="56">
        <f t="shared" si="102"/>
        <v>49.624191596500594</v>
      </c>
      <c r="H146" s="56">
        <f t="shared" si="102"/>
        <v>26.652349040994181</v>
      </c>
      <c r="I146" s="56">
        <f t="shared" si="102"/>
        <v>28.230719731105903</v>
      </c>
      <c r="J146" s="56">
        <f t="shared" si="102"/>
        <v>56.504602382495584</v>
      </c>
    </row>
    <row r="147" spans="1:10" x14ac:dyDescent="0.35">
      <c r="A147" s="55" t="s">
        <v>91</v>
      </c>
      <c r="B147" s="55" t="s">
        <v>191</v>
      </c>
      <c r="C147" s="56">
        <f t="shared" si="102"/>
        <v>0</v>
      </c>
      <c r="D147" s="56">
        <f t="shared" si="102"/>
        <v>0</v>
      </c>
      <c r="E147" s="56">
        <f t="shared" si="102"/>
        <v>0</v>
      </c>
      <c r="F147" s="56">
        <f t="shared" si="102"/>
        <v>0.3912476533122195</v>
      </c>
      <c r="G147" s="56">
        <f t="shared" si="102"/>
        <v>0</v>
      </c>
      <c r="H147" s="56">
        <f t="shared" si="102"/>
        <v>0</v>
      </c>
      <c r="I147" s="56">
        <f t="shared" si="102"/>
        <v>0</v>
      </c>
      <c r="J147" s="56">
        <f t="shared" si="102"/>
        <v>0</v>
      </c>
    </row>
    <row r="148" spans="1:10" x14ac:dyDescent="0.35">
      <c r="A148" s="55" t="s">
        <v>92</v>
      </c>
      <c r="B148" s="55" t="s">
        <v>189</v>
      </c>
      <c r="C148" s="56">
        <f t="shared" si="102"/>
        <v>0</v>
      </c>
      <c r="D148" s="56">
        <f t="shared" si="102"/>
        <v>13.7816302340355</v>
      </c>
      <c r="E148" s="56">
        <f t="shared" si="102"/>
        <v>4.8988841947422594</v>
      </c>
      <c r="F148" s="56">
        <f t="shared" si="102"/>
        <v>4.9841190824800607</v>
      </c>
      <c r="G148" s="56">
        <f t="shared" si="102"/>
        <v>1.9336875154591404</v>
      </c>
      <c r="H148" s="56">
        <f t="shared" si="102"/>
        <v>2.0573096047189994</v>
      </c>
      <c r="I148" s="56">
        <f t="shared" si="102"/>
        <v>3.5354254134807381</v>
      </c>
      <c r="J148" s="56">
        <f t="shared" si="102"/>
        <v>13.878780662314256</v>
      </c>
    </row>
    <row r="149" spans="1:10" ht="15" customHeight="1" x14ac:dyDescent="0.35">
      <c r="A149" s="55" t="s">
        <v>98</v>
      </c>
      <c r="B149" s="55" t="s">
        <v>192</v>
      </c>
      <c r="C149" s="56">
        <f t="shared" si="102"/>
        <v>0</v>
      </c>
      <c r="D149" s="56">
        <f t="shared" si="102"/>
        <v>0.70550836827724672</v>
      </c>
      <c r="E149" s="56">
        <f t="shared" si="102"/>
        <v>0</v>
      </c>
      <c r="F149" s="56">
        <f t="shared" si="102"/>
        <v>0</v>
      </c>
      <c r="G149" s="56">
        <f t="shared" si="102"/>
        <v>0</v>
      </c>
      <c r="H149" s="56">
        <f t="shared" si="102"/>
        <v>0</v>
      </c>
      <c r="I149" s="56">
        <f t="shared" si="102"/>
        <v>5.5187748643069341</v>
      </c>
      <c r="J149" s="56">
        <f t="shared" si="102"/>
        <v>6.8669273180096635</v>
      </c>
    </row>
    <row r="150" spans="1:10" ht="21" x14ac:dyDescent="0.35">
      <c r="A150" s="6" t="s">
        <v>194</v>
      </c>
      <c r="B150" s="8" t="s">
        <v>195</v>
      </c>
      <c r="C150" s="11">
        <f t="shared" ref="C150" si="103">+C139-C145</f>
        <v>173.12509879184265</v>
      </c>
      <c r="D150" s="11">
        <f>+D139-D145</f>
        <v>138.09737832524266</v>
      </c>
      <c r="E150" s="11">
        <f t="shared" ref="E150:J150" si="104">+E139-E145</f>
        <v>98.139556214500615</v>
      </c>
      <c r="F150" s="11">
        <f t="shared" si="104"/>
        <v>92.568679384194851</v>
      </c>
      <c r="G150" s="11">
        <f t="shared" si="104"/>
        <v>55.732060543459767</v>
      </c>
      <c r="H150" s="11">
        <f t="shared" si="104"/>
        <v>39.400512492540059</v>
      </c>
      <c r="I150" s="11">
        <f t="shared" si="104"/>
        <v>106.23639516952787</v>
      </c>
      <c r="J150" s="11">
        <f t="shared" si="104"/>
        <v>177.31776494564991</v>
      </c>
    </row>
  </sheetData>
  <sheetProtection algorithmName="SHA-512" hashValue="xVscxtjxaodiiin0pnVY/1nGKd9r8wEWPrRuX56jYZtPCSeWT0vd6iwveT9pielo7mtsQvbCb1HG6k3dFOv3NA==" saltValue="RdbFJFPEhOxixTbhjemUDQ==" spinCount="100000" sheet="1" objects="1" scenarios="1"/>
  <mergeCells count="1">
    <mergeCell ref="A1:B1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Carvalho das Neves</dc:creator>
  <cp:lastModifiedBy>João Carvalho das Neves</cp:lastModifiedBy>
  <dcterms:created xsi:type="dcterms:W3CDTF">2017-01-06T14:24:56Z</dcterms:created>
  <dcterms:modified xsi:type="dcterms:W3CDTF">2018-10-02T08:55:58Z</dcterms:modified>
</cp:coreProperties>
</file>