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neves\OneDrive - Instituto Superior de Economia e Gestao da Universidade de Lisboa\Teaching-English\ISEG-CorporateFinance-Master Finance\CaseStudies2018-2019\"/>
    </mc:Choice>
  </mc:AlternateContent>
  <bookViews>
    <workbookView xWindow="0" yWindow="0" windowWidth="14380" windowHeight="4190"/>
  </bookViews>
  <sheets>
    <sheet name="MMDC" sheetId="1" r:id="rId1"/>
    <sheet name="DYOD" sheetId="2" r:id="rId2"/>
    <sheet name="Sensitivity" sheetId="3" r:id="rId3"/>
  </sheets>
  <definedNames>
    <definedName name="overhead">DYOD!#REF!</definedName>
  </definedNames>
  <calcPr calcId="162913"/>
</workbook>
</file>

<file path=xl/calcChain.xml><?xml version="1.0" encoding="utf-8"?>
<calcChain xmlns="http://schemas.openxmlformats.org/spreadsheetml/2006/main">
  <c r="G21" i="3" l="1"/>
  <c r="G20" i="3"/>
  <c r="G19" i="3"/>
  <c r="G12" i="3"/>
  <c r="G11" i="3"/>
  <c r="G10" i="3"/>
  <c r="L88" i="2"/>
  <c r="K88" i="2"/>
  <c r="J88" i="2"/>
  <c r="I88" i="2"/>
  <c r="H88" i="2"/>
  <c r="G88" i="2"/>
  <c r="F88" i="2"/>
  <c r="E88" i="2"/>
  <c r="D88" i="2"/>
  <c r="C88" i="2"/>
  <c r="B88" i="2"/>
  <c r="E86" i="2"/>
  <c r="F86" i="2" s="1"/>
  <c r="G86" i="2" s="1"/>
  <c r="H86" i="2" s="1"/>
  <c r="I86" i="2" s="1"/>
  <c r="J86" i="2" s="1"/>
  <c r="K86" i="2" s="1"/>
  <c r="L86" i="2" s="1"/>
  <c r="D86" i="2"/>
  <c r="C86" i="2"/>
  <c r="B86" i="2"/>
  <c r="D85" i="2"/>
  <c r="E85" i="2" s="1"/>
  <c r="F85" i="2" s="1"/>
  <c r="G85" i="2" s="1"/>
  <c r="H85" i="2" s="1"/>
  <c r="I85" i="2" s="1"/>
  <c r="J85" i="2" s="1"/>
  <c r="K85" i="2" s="1"/>
  <c r="L85" i="2" s="1"/>
  <c r="C85" i="2"/>
  <c r="B85" i="2"/>
  <c r="B87" i="2"/>
  <c r="C84" i="2"/>
  <c r="D84" i="2" s="1"/>
  <c r="E84" i="2" s="1"/>
  <c r="F84" i="2" s="1"/>
  <c r="G84" i="2" s="1"/>
  <c r="H84" i="2" s="1"/>
  <c r="I84" i="2" s="1"/>
  <c r="J84" i="2" s="1"/>
  <c r="K84" i="2" s="1"/>
  <c r="L84" i="2" s="1"/>
  <c r="D81" i="1"/>
  <c r="E81" i="1" s="1"/>
  <c r="F81" i="1" s="1"/>
  <c r="G81" i="1" s="1"/>
  <c r="H81" i="1" s="1"/>
  <c r="I81" i="1" s="1"/>
  <c r="J81" i="1" s="1"/>
  <c r="K81" i="1" s="1"/>
  <c r="L81" i="1" s="1"/>
  <c r="D82" i="1"/>
  <c r="E82" i="1" s="1"/>
  <c r="F82" i="1" s="1"/>
  <c r="G82" i="1" s="1"/>
  <c r="H82" i="1" s="1"/>
  <c r="I82" i="1" s="1"/>
  <c r="J82" i="1" s="1"/>
  <c r="K82" i="1" s="1"/>
  <c r="L82" i="1" s="1"/>
  <c r="B82" i="1"/>
  <c r="C82" i="1"/>
  <c r="C80" i="1"/>
  <c r="D80" i="1" s="1"/>
  <c r="E80" i="1" s="1"/>
  <c r="F80" i="1" s="1"/>
  <c r="G80" i="1" s="1"/>
  <c r="H80" i="1" s="1"/>
  <c r="I80" i="1" s="1"/>
  <c r="J80" i="1" s="1"/>
  <c r="K80" i="1" s="1"/>
  <c r="L80" i="1" s="1"/>
  <c r="B54" i="2"/>
  <c r="B53" i="1"/>
  <c r="C53" i="2"/>
  <c r="D53" i="2" s="1"/>
  <c r="E53" i="2" s="1"/>
  <c r="F53" i="2" s="1"/>
  <c r="G53" i="2" s="1"/>
  <c r="H53" i="2" s="1"/>
  <c r="I53" i="2" s="1"/>
  <c r="J53" i="2" s="1"/>
  <c r="K53" i="2" s="1"/>
  <c r="L53" i="2" s="1"/>
  <c r="L54" i="2" s="1"/>
  <c r="G54" i="2" l="1"/>
  <c r="H54" i="2"/>
  <c r="C54" i="2"/>
  <c r="B91" i="2"/>
  <c r="D54" i="2"/>
  <c r="I54" i="2"/>
  <c r="E54" i="2"/>
  <c r="K54" i="2"/>
  <c r="B89" i="2"/>
  <c r="C87" i="2"/>
  <c r="C89" i="2" s="1"/>
  <c r="F54" i="2"/>
  <c r="J54" i="2"/>
  <c r="C48" i="1"/>
  <c r="D48" i="1"/>
  <c r="C52" i="1"/>
  <c r="D84" i="1"/>
  <c r="C84" i="1"/>
  <c r="B84" i="1"/>
  <c r="D83" i="1"/>
  <c r="D85" i="1" s="1"/>
  <c r="C83" i="1"/>
  <c r="C85" i="1" s="1"/>
  <c r="B83" i="1"/>
  <c r="B85" i="1" s="1"/>
  <c r="L83" i="1"/>
  <c r="C81" i="1"/>
  <c r="B81" i="1"/>
  <c r="K69" i="2"/>
  <c r="I69" i="2"/>
  <c r="H69" i="2"/>
  <c r="G69" i="2"/>
  <c r="F69" i="2"/>
  <c r="E69" i="2"/>
  <c r="D69" i="2"/>
  <c r="C69" i="2"/>
  <c r="B69" i="2"/>
  <c r="J69" i="2"/>
  <c r="L31" i="2"/>
  <c r="K31" i="2"/>
  <c r="J31" i="2"/>
  <c r="I31" i="2"/>
  <c r="H31" i="2"/>
  <c r="G31" i="2"/>
  <c r="F31" i="2"/>
  <c r="E31" i="2"/>
  <c r="D31" i="2"/>
  <c r="M28" i="1"/>
  <c r="M13" i="1"/>
  <c r="M14" i="2"/>
  <c r="L13" i="2"/>
  <c r="K13" i="2"/>
  <c r="J13" i="2"/>
  <c r="I13" i="2"/>
  <c r="H13" i="2"/>
  <c r="G13" i="2"/>
  <c r="F13" i="2"/>
  <c r="E13" i="2"/>
  <c r="D13" i="2"/>
  <c r="I8" i="2"/>
  <c r="J8" i="2" s="1"/>
  <c r="K8" i="2" s="1"/>
  <c r="L8" i="2" s="1"/>
  <c r="H8" i="2"/>
  <c r="C55" i="2" l="1"/>
  <c r="D87" i="2"/>
  <c r="D89" i="2" s="1"/>
  <c r="E83" i="1"/>
  <c r="I83" i="1"/>
  <c r="F83" i="1"/>
  <c r="J83" i="1"/>
  <c r="H83" i="1"/>
  <c r="G83" i="1"/>
  <c r="K83" i="1"/>
  <c r="D52" i="1"/>
  <c r="D53" i="1" s="1"/>
  <c r="C53" i="1"/>
  <c r="E52" i="1" l="1"/>
  <c r="F52" i="1" s="1"/>
  <c r="G52" i="1" s="1"/>
  <c r="H52" i="1" s="1"/>
  <c r="E87" i="2"/>
  <c r="E89" i="2" s="1"/>
  <c r="F87" i="2" l="1"/>
  <c r="F89" i="2" s="1"/>
  <c r="I52" i="1"/>
  <c r="J52" i="1"/>
  <c r="G87" i="2" l="1"/>
  <c r="G89" i="2" s="1"/>
  <c r="K52" i="1"/>
  <c r="H87" i="2" l="1"/>
  <c r="H89" i="2" s="1"/>
  <c r="L52" i="1"/>
  <c r="I87" i="2" l="1"/>
  <c r="I89" i="2" s="1"/>
  <c r="B38" i="1"/>
  <c r="B52" i="1"/>
  <c r="C12" i="1"/>
  <c r="D9" i="1"/>
  <c r="D30" i="1" s="1"/>
  <c r="C30" i="1"/>
  <c r="J87" i="2" l="1"/>
  <c r="J89" i="2" s="1"/>
  <c r="D12" i="1"/>
  <c r="E9" i="1"/>
  <c r="F9" i="1" s="1"/>
  <c r="F12" i="1" s="1"/>
  <c r="E21" i="3"/>
  <c r="D21" i="3"/>
  <c r="C21" i="3"/>
  <c r="B21" i="3"/>
  <c r="E20" i="3"/>
  <c r="D20" i="3"/>
  <c r="C20" i="3"/>
  <c r="B20" i="3"/>
  <c r="E19" i="3"/>
  <c r="D19" i="3"/>
  <c r="C19" i="3"/>
  <c r="B19" i="3"/>
  <c r="E12" i="3"/>
  <c r="D12" i="3"/>
  <c r="C12" i="3"/>
  <c r="B12" i="3"/>
  <c r="E11" i="3"/>
  <c r="D11" i="3"/>
  <c r="C11" i="3"/>
  <c r="B11" i="3"/>
  <c r="E10" i="3"/>
  <c r="D10" i="3"/>
  <c r="C10" i="3"/>
  <c r="B10" i="3"/>
  <c r="G27" i="2"/>
  <c r="H27" i="2" s="1"/>
  <c r="I27" i="2" s="1"/>
  <c r="J27" i="2" s="1"/>
  <c r="K27" i="2" s="1"/>
  <c r="L27" i="2" s="1"/>
  <c r="H26" i="2"/>
  <c r="I26" i="2" s="1"/>
  <c r="J26" i="2" s="1"/>
  <c r="K26" i="2" s="1"/>
  <c r="L26" i="2" s="1"/>
  <c r="E24" i="2"/>
  <c r="F24" i="2" s="1"/>
  <c r="G24" i="2" s="1"/>
  <c r="H24" i="2" s="1"/>
  <c r="I24" i="2" s="1"/>
  <c r="J24" i="2" s="1"/>
  <c r="K24" i="2" s="1"/>
  <c r="L24" i="2" s="1"/>
  <c r="E25" i="2"/>
  <c r="F25" i="2" s="1"/>
  <c r="G25" i="2" s="1"/>
  <c r="H25" i="2" s="1"/>
  <c r="I25" i="2" s="1"/>
  <c r="J25" i="2" s="1"/>
  <c r="K25" i="2" s="1"/>
  <c r="L25" i="2" s="1"/>
  <c r="B47" i="1"/>
  <c r="B46" i="1"/>
  <c r="F26" i="1"/>
  <c r="G26" i="1" s="1"/>
  <c r="H26" i="1" s="1"/>
  <c r="I26" i="1" s="1"/>
  <c r="J26" i="1" s="1"/>
  <c r="K26" i="1" s="1"/>
  <c r="L26" i="1" s="1"/>
  <c r="F25" i="1"/>
  <c r="G25" i="1" s="1"/>
  <c r="H25" i="1" s="1"/>
  <c r="I25" i="1" s="1"/>
  <c r="J25" i="1" s="1"/>
  <c r="K25" i="1" s="1"/>
  <c r="L25" i="1" s="1"/>
  <c r="D23" i="1"/>
  <c r="E23" i="1" s="1"/>
  <c r="F23" i="1" s="1"/>
  <c r="G23" i="1" s="1"/>
  <c r="H23" i="1" s="1"/>
  <c r="I23" i="1" s="1"/>
  <c r="J23" i="1" s="1"/>
  <c r="K23" i="1" s="1"/>
  <c r="L23" i="1" s="1"/>
  <c r="D24" i="1"/>
  <c r="E24" i="1" s="1"/>
  <c r="F24" i="1" s="1"/>
  <c r="G24" i="1" s="1"/>
  <c r="H24" i="1" s="1"/>
  <c r="I24" i="1" s="1"/>
  <c r="J24" i="1" s="1"/>
  <c r="K24" i="1" s="1"/>
  <c r="L24" i="1" s="1"/>
  <c r="K87" i="2" l="1"/>
  <c r="K89" i="2" s="1"/>
  <c r="L87" i="2"/>
  <c r="L89" i="2" s="1"/>
  <c r="E30" i="1"/>
  <c r="E12" i="1"/>
  <c r="F30" i="1"/>
  <c r="G9" i="1"/>
  <c r="G12" i="1" s="1"/>
  <c r="C15" i="2"/>
  <c r="F30" i="2"/>
  <c r="G30" i="2"/>
  <c r="H30" i="2"/>
  <c r="I30" i="2"/>
  <c r="J30" i="2"/>
  <c r="K30" i="2"/>
  <c r="L30" i="2"/>
  <c r="E30" i="2"/>
  <c r="D29" i="1"/>
  <c r="E29" i="1"/>
  <c r="F29" i="1"/>
  <c r="G29" i="1"/>
  <c r="H29" i="1"/>
  <c r="I29" i="1"/>
  <c r="J29" i="1"/>
  <c r="K29" i="1"/>
  <c r="L29" i="1"/>
  <c r="C29" i="1"/>
  <c r="H9" i="1" l="1"/>
  <c r="H12" i="1" s="1"/>
  <c r="G30" i="1"/>
  <c r="B15" i="2"/>
  <c r="B17" i="2" s="1"/>
  <c r="H30" i="1" l="1"/>
  <c r="I9" i="1"/>
  <c r="I12" i="1" s="1"/>
  <c r="E21" i="2"/>
  <c r="F21" i="2"/>
  <c r="G21" i="2"/>
  <c r="H21" i="2"/>
  <c r="I21" i="2"/>
  <c r="J21" i="2"/>
  <c r="K21" i="2"/>
  <c r="L21" i="2"/>
  <c r="D21" i="2"/>
  <c r="C66" i="2"/>
  <c r="D66" i="2" s="1"/>
  <c r="E66" i="2" s="1"/>
  <c r="F66" i="2" s="1"/>
  <c r="G66" i="2" s="1"/>
  <c r="H66" i="2" s="1"/>
  <c r="I66" i="2" s="1"/>
  <c r="J66" i="2" s="1"/>
  <c r="K66" i="2" s="1"/>
  <c r="L66" i="2" s="1"/>
  <c r="C61" i="2"/>
  <c r="D61" i="2" s="1"/>
  <c r="E61" i="2" s="1"/>
  <c r="F61" i="2" s="1"/>
  <c r="G61" i="2" s="1"/>
  <c r="H61" i="2" s="1"/>
  <c r="I61" i="2" s="1"/>
  <c r="J61" i="2" s="1"/>
  <c r="K61" i="2" s="1"/>
  <c r="L61" i="2" s="1"/>
  <c r="C64" i="1"/>
  <c r="D64" i="1" s="1"/>
  <c r="E64" i="1" s="1"/>
  <c r="F64" i="1" s="1"/>
  <c r="G64" i="1" s="1"/>
  <c r="H64" i="1" s="1"/>
  <c r="I64" i="1" s="1"/>
  <c r="J64" i="1" s="1"/>
  <c r="K64" i="1" s="1"/>
  <c r="L64" i="1" s="1"/>
  <c r="C59" i="1"/>
  <c r="D59" i="1" s="1"/>
  <c r="E59" i="1" s="1"/>
  <c r="F59" i="1" s="1"/>
  <c r="G59" i="1" s="1"/>
  <c r="H59" i="1" s="1"/>
  <c r="I59" i="1" s="1"/>
  <c r="J59" i="1" s="1"/>
  <c r="K59" i="1" s="1"/>
  <c r="L59" i="1" s="1"/>
  <c r="B53" i="2"/>
  <c r="C48" i="2"/>
  <c r="D48" i="2"/>
  <c r="E48" i="2"/>
  <c r="F48" i="2"/>
  <c r="G48" i="2"/>
  <c r="H48" i="2"/>
  <c r="I48" i="2"/>
  <c r="J48" i="2"/>
  <c r="K48" i="2"/>
  <c r="L48" i="2"/>
  <c r="B48" i="2"/>
  <c r="C46" i="2"/>
  <c r="C39" i="2"/>
  <c r="C47" i="2" s="1"/>
  <c r="C43" i="2"/>
  <c r="D43" i="2" s="1"/>
  <c r="E43" i="2" s="1"/>
  <c r="F43" i="2" s="1"/>
  <c r="G43" i="2" s="1"/>
  <c r="H43" i="2" s="1"/>
  <c r="I43" i="2" s="1"/>
  <c r="J43" i="2" s="1"/>
  <c r="K43" i="2" s="1"/>
  <c r="L43" i="2" s="1"/>
  <c r="C33" i="2"/>
  <c r="D33" i="2" s="1"/>
  <c r="E33" i="2" s="1"/>
  <c r="F33" i="2" s="1"/>
  <c r="G33" i="2" s="1"/>
  <c r="H33" i="2" s="1"/>
  <c r="I33" i="2" s="1"/>
  <c r="J33" i="2" s="1"/>
  <c r="K33" i="2" s="1"/>
  <c r="L33" i="2" s="1"/>
  <c r="C32" i="1"/>
  <c r="D32" i="1" s="1"/>
  <c r="E32" i="1" s="1"/>
  <c r="F32" i="1" s="1"/>
  <c r="G32" i="1" s="1"/>
  <c r="H32" i="1" s="1"/>
  <c r="I32" i="1" s="1"/>
  <c r="J32" i="1" s="1"/>
  <c r="K32" i="1" s="1"/>
  <c r="L32" i="1" s="1"/>
  <c r="C47" i="1"/>
  <c r="D47" i="1"/>
  <c r="E47" i="1"/>
  <c r="F47" i="1"/>
  <c r="G47" i="1"/>
  <c r="H47" i="1"/>
  <c r="I47" i="1"/>
  <c r="J47" i="1"/>
  <c r="K47" i="1"/>
  <c r="L47" i="1"/>
  <c r="B45" i="1"/>
  <c r="I30" i="1" l="1"/>
  <c r="J9" i="1"/>
  <c r="J12" i="1" s="1"/>
  <c r="J30" i="1" l="1"/>
  <c r="K9" i="1"/>
  <c r="K12" i="1" s="1"/>
  <c r="C43" i="1"/>
  <c r="D43" i="1" s="1"/>
  <c r="E43" i="1" s="1"/>
  <c r="F43" i="1" s="1"/>
  <c r="G43" i="1" s="1"/>
  <c r="H43" i="1" s="1"/>
  <c r="I43" i="1" s="1"/>
  <c r="J43" i="1" s="1"/>
  <c r="K43" i="1" s="1"/>
  <c r="L43" i="1" s="1"/>
  <c r="B19" i="2"/>
  <c r="B45" i="2" s="1"/>
  <c r="B49" i="2" s="1"/>
  <c r="L46" i="2"/>
  <c r="K46" i="2"/>
  <c r="J46" i="2"/>
  <c r="I46" i="2"/>
  <c r="H46" i="2"/>
  <c r="G46" i="2"/>
  <c r="F46" i="2"/>
  <c r="E46" i="2"/>
  <c r="D46" i="2"/>
  <c r="C17" i="2"/>
  <c r="C5" i="2"/>
  <c r="D5" i="2" s="1"/>
  <c r="E5" i="2" s="1"/>
  <c r="F5" i="2" s="1"/>
  <c r="G5" i="2" s="1"/>
  <c r="H5" i="2" s="1"/>
  <c r="I5" i="2" s="1"/>
  <c r="J5" i="2" s="1"/>
  <c r="K5" i="2" s="1"/>
  <c r="L5" i="2" s="1"/>
  <c r="B14" i="1"/>
  <c r="B16" i="1" s="1"/>
  <c r="B18" i="1" s="1"/>
  <c r="B44" i="1" s="1"/>
  <c r="B48" i="1" s="1"/>
  <c r="L45" i="1"/>
  <c r="K45" i="1"/>
  <c r="J45" i="1"/>
  <c r="I45" i="1"/>
  <c r="H45" i="1"/>
  <c r="G45" i="1"/>
  <c r="F45" i="1"/>
  <c r="E45" i="1"/>
  <c r="D45" i="1"/>
  <c r="C45" i="1"/>
  <c r="C5" i="1"/>
  <c r="D5" i="1" s="1"/>
  <c r="E5" i="1" s="1"/>
  <c r="F5" i="1" s="1"/>
  <c r="G5" i="1" s="1"/>
  <c r="H5" i="1" s="1"/>
  <c r="I5" i="1" s="1"/>
  <c r="J5" i="1" s="1"/>
  <c r="K5" i="1" s="1"/>
  <c r="L5" i="1" s="1"/>
  <c r="B60" i="1" l="1"/>
  <c r="L9" i="1"/>
  <c r="L33" i="1" s="1"/>
  <c r="K30" i="1"/>
  <c r="C34" i="1"/>
  <c r="C20" i="1"/>
  <c r="K33" i="1"/>
  <c r="K20" i="1"/>
  <c r="G33" i="1"/>
  <c r="G20" i="1"/>
  <c r="L34" i="1"/>
  <c r="L20" i="1"/>
  <c r="J34" i="1"/>
  <c r="J20" i="1"/>
  <c r="H34" i="1"/>
  <c r="H20" i="1"/>
  <c r="F34" i="1"/>
  <c r="F20" i="1"/>
  <c r="D34" i="1"/>
  <c r="D20" i="1"/>
  <c r="I33" i="1"/>
  <c r="I20" i="1"/>
  <c r="E33" i="1"/>
  <c r="E20" i="1"/>
  <c r="B62" i="2"/>
  <c r="K34" i="2"/>
  <c r="K35" i="2"/>
  <c r="I34" i="2"/>
  <c r="I35" i="2"/>
  <c r="E34" i="2"/>
  <c r="E35" i="2"/>
  <c r="L35" i="2"/>
  <c r="L34" i="2"/>
  <c r="J35" i="2"/>
  <c r="J34" i="2"/>
  <c r="H35" i="2"/>
  <c r="H34" i="2"/>
  <c r="F35" i="2"/>
  <c r="F34" i="2"/>
  <c r="D34" i="2"/>
  <c r="D35" i="2"/>
  <c r="G34" i="2"/>
  <c r="G35" i="2"/>
  <c r="C33" i="1"/>
  <c r="K34" i="1"/>
  <c r="I34" i="1"/>
  <c r="G34" i="1"/>
  <c r="E34" i="1"/>
  <c r="J33" i="1"/>
  <c r="H33" i="1"/>
  <c r="F33" i="1"/>
  <c r="D33" i="1"/>
  <c r="E14" i="1"/>
  <c r="G14" i="1"/>
  <c r="I14" i="1"/>
  <c r="K14" i="1"/>
  <c r="C19" i="2"/>
  <c r="D15" i="2"/>
  <c r="E15" i="2"/>
  <c r="G15" i="2"/>
  <c r="I15" i="2"/>
  <c r="K15" i="2"/>
  <c r="F15" i="2"/>
  <c r="H15" i="2"/>
  <c r="J15" i="2"/>
  <c r="L15" i="2"/>
  <c r="D14" i="1"/>
  <c r="F14" i="1"/>
  <c r="H14" i="1"/>
  <c r="J14" i="1"/>
  <c r="C14" i="1"/>
  <c r="L30" i="1" l="1"/>
  <c r="L12" i="1"/>
  <c r="L14" i="1" s="1"/>
  <c r="D17" i="2"/>
  <c r="D19" i="2" s="1"/>
  <c r="D36" i="2"/>
  <c r="H17" i="2"/>
  <c r="H36" i="2"/>
  <c r="I17" i="2"/>
  <c r="I36" i="2"/>
  <c r="G17" i="2"/>
  <c r="G36" i="2"/>
  <c r="F17" i="2"/>
  <c r="F19" i="2" s="1"/>
  <c r="F36" i="2"/>
  <c r="E17" i="2"/>
  <c r="E36" i="2"/>
  <c r="J17" i="2"/>
  <c r="J37" i="2" s="1"/>
  <c r="J36" i="2"/>
  <c r="L17" i="2"/>
  <c r="L36" i="2"/>
  <c r="K17" i="2"/>
  <c r="K19" i="2" s="1"/>
  <c r="K36" i="2"/>
  <c r="C45" i="2"/>
  <c r="C49" i="2" s="1"/>
  <c r="D16" i="1"/>
  <c r="D36" i="1" s="1"/>
  <c r="D35" i="1"/>
  <c r="D37" i="1" s="1"/>
  <c r="D39" i="1" s="1"/>
  <c r="K16" i="1"/>
  <c r="K35" i="1"/>
  <c r="L16" i="1"/>
  <c r="L18" i="1" s="1"/>
  <c r="L35" i="1"/>
  <c r="J16" i="1"/>
  <c r="J35" i="1"/>
  <c r="F16" i="1"/>
  <c r="F18" i="1" s="1"/>
  <c r="F35" i="1"/>
  <c r="I16" i="1"/>
  <c r="I36" i="1" s="1"/>
  <c r="I35" i="1"/>
  <c r="E16" i="1"/>
  <c r="E36" i="1" s="1"/>
  <c r="E35" i="1"/>
  <c r="C16" i="1"/>
  <c r="C36" i="1" s="1"/>
  <c r="C35" i="1"/>
  <c r="H16" i="1"/>
  <c r="H18" i="1" s="1"/>
  <c r="H35" i="1"/>
  <c r="G16" i="1"/>
  <c r="G36" i="1" s="1"/>
  <c r="G35" i="1"/>
  <c r="B67" i="2"/>
  <c r="B68" i="2" s="1"/>
  <c r="B65" i="1"/>
  <c r="B66" i="1" s="1"/>
  <c r="B67" i="1" s="1"/>
  <c r="H19" i="2"/>
  <c r="H37" i="2"/>
  <c r="G19" i="2"/>
  <c r="G37" i="2"/>
  <c r="J19" i="2"/>
  <c r="E19" i="2"/>
  <c r="E37" i="2"/>
  <c r="D37" i="2"/>
  <c r="L19" i="2"/>
  <c r="L37" i="2"/>
  <c r="J18" i="1"/>
  <c r="J36" i="1"/>
  <c r="G18" i="1"/>
  <c r="F36" i="1"/>
  <c r="K37" i="2" l="1"/>
  <c r="L38" i="2"/>
  <c r="L40" i="2" s="1"/>
  <c r="F37" i="2"/>
  <c r="B71" i="2"/>
  <c r="K38" i="2"/>
  <c r="J38" i="2"/>
  <c r="K39" i="2" s="1"/>
  <c r="K47" i="2" s="1"/>
  <c r="C62" i="2"/>
  <c r="C67" i="2" s="1"/>
  <c r="C68" i="2" s="1"/>
  <c r="I37" i="1"/>
  <c r="H36" i="1"/>
  <c r="H37" i="1" s="1"/>
  <c r="L36" i="1"/>
  <c r="L37" i="1" s="1"/>
  <c r="L84" i="1" s="1"/>
  <c r="L85" i="1" s="1"/>
  <c r="B87" i="1" s="1"/>
  <c r="E18" i="1"/>
  <c r="E44" i="1" s="1"/>
  <c r="D18" i="1"/>
  <c r="D44" i="1" s="1"/>
  <c r="H38" i="2"/>
  <c r="H40" i="2" s="1"/>
  <c r="F38" i="2"/>
  <c r="F40" i="2" s="1"/>
  <c r="E38" i="2"/>
  <c r="E40" i="2" s="1"/>
  <c r="D38" i="2"/>
  <c r="D40" i="2" s="1"/>
  <c r="I18" i="1"/>
  <c r="I19" i="1" s="1"/>
  <c r="C18" i="1"/>
  <c r="C19" i="1" s="1"/>
  <c r="G37" i="1"/>
  <c r="F37" i="1"/>
  <c r="C37" i="1"/>
  <c r="C39" i="1" s="1"/>
  <c r="G38" i="2"/>
  <c r="G40" i="2" s="1"/>
  <c r="E37" i="1"/>
  <c r="J37" i="1"/>
  <c r="I37" i="2"/>
  <c r="I38" i="2" s="1"/>
  <c r="I40" i="2" s="1"/>
  <c r="I19" i="2"/>
  <c r="K36" i="1"/>
  <c r="K37" i="1" s="1"/>
  <c r="K18" i="1"/>
  <c r="H39" i="2"/>
  <c r="H47" i="2" s="1"/>
  <c r="K40" i="2"/>
  <c r="K45" i="2"/>
  <c r="K20" i="2"/>
  <c r="L45" i="2"/>
  <c r="L20" i="2"/>
  <c r="D45" i="2"/>
  <c r="D20" i="2"/>
  <c r="E45" i="2"/>
  <c r="E20" i="2"/>
  <c r="F45" i="2"/>
  <c r="F20" i="2"/>
  <c r="J45" i="2"/>
  <c r="J20" i="2"/>
  <c r="G45" i="2"/>
  <c r="G20" i="2"/>
  <c r="H45" i="2"/>
  <c r="H20" i="2"/>
  <c r="C38" i="1"/>
  <c r="C46" i="1" s="1"/>
  <c r="L39" i="1"/>
  <c r="F44" i="1"/>
  <c r="F19" i="1"/>
  <c r="I44" i="1"/>
  <c r="G44" i="1"/>
  <c r="G19" i="1"/>
  <c r="H44" i="1"/>
  <c r="H19" i="1"/>
  <c r="J44" i="1"/>
  <c r="J19" i="1"/>
  <c r="L44" i="1"/>
  <c r="L19" i="1"/>
  <c r="D38" i="1"/>
  <c r="D46" i="1" s="1"/>
  <c r="L39" i="2"/>
  <c r="L47" i="2" s="1"/>
  <c r="F39" i="1" l="1"/>
  <c r="F84" i="1"/>
  <c r="F85" i="1" s="1"/>
  <c r="K39" i="1"/>
  <c r="K84" i="1"/>
  <c r="K85" i="1" s="1"/>
  <c r="E39" i="1"/>
  <c r="E84" i="1"/>
  <c r="E85" i="1" s="1"/>
  <c r="G39" i="1"/>
  <c r="G84" i="1"/>
  <c r="G85" i="1" s="1"/>
  <c r="J39" i="1"/>
  <c r="J84" i="1"/>
  <c r="J85" i="1" s="1"/>
  <c r="I39" i="1"/>
  <c r="I84" i="1"/>
  <c r="I85" i="1" s="1"/>
  <c r="H39" i="1"/>
  <c r="H84" i="1"/>
  <c r="H85" i="1" s="1"/>
  <c r="E39" i="2"/>
  <c r="E47" i="2" s="1"/>
  <c r="J40" i="2"/>
  <c r="D39" i="2"/>
  <c r="D47" i="2" s="1"/>
  <c r="D49" i="2" s="1"/>
  <c r="I38" i="1"/>
  <c r="I46" i="1" s="1"/>
  <c r="I48" i="1" s="1"/>
  <c r="I53" i="1" s="1"/>
  <c r="H38" i="1"/>
  <c r="H46" i="1" s="1"/>
  <c r="H48" i="1" s="1"/>
  <c r="H53" i="1" s="1"/>
  <c r="E19" i="1"/>
  <c r="G38" i="1"/>
  <c r="G46" i="1" s="1"/>
  <c r="G48" i="1" s="1"/>
  <c r="G53" i="1" s="1"/>
  <c r="D19" i="1"/>
  <c r="B68" i="1"/>
  <c r="C44" i="1"/>
  <c r="C60" i="1" s="1"/>
  <c r="J38" i="1"/>
  <c r="J46" i="1" s="1"/>
  <c r="J48" i="1" s="1"/>
  <c r="J53" i="1" s="1"/>
  <c r="E49" i="2"/>
  <c r="E62" i="2" s="1"/>
  <c r="E67" i="2" s="1"/>
  <c r="K49" i="2"/>
  <c r="K62" i="2" s="1"/>
  <c r="K67" i="2" s="1"/>
  <c r="L49" i="2"/>
  <c r="L51" i="2" s="1"/>
  <c r="B56" i="2" s="1"/>
  <c r="F39" i="2"/>
  <c r="F47" i="2" s="1"/>
  <c r="F49" i="2" s="1"/>
  <c r="F62" i="2" s="1"/>
  <c r="F67" i="2" s="1"/>
  <c r="I39" i="2"/>
  <c r="I47" i="2" s="1"/>
  <c r="G39" i="2"/>
  <c r="G47" i="2" s="1"/>
  <c r="G49" i="2" s="1"/>
  <c r="G62" i="2" s="1"/>
  <c r="G67" i="2" s="1"/>
  <c r="J39" i="2"/>
  <c r="J47" i="2" s="1"/>
  <c r="J49" i="2" s="1"/>
  <c r="K38" i="1"/>
  <c r="K46" i="1" s="1"/>
  <c r="K48" i="1" s="1"/>
  <c r="K53" i="1" s="1"/>
  <c r="L38" i="1"/>
  <c r="L46" i="1" s="1"/>
  <c r="L48" i="1" s="1"/>
  <c r="L53" i="1" s="1"/>
  <c r="F38" i="1"/>
  <c r="F46" i="1" s="1"/>
  <c r="F48" i="1" s="1"/>
  <c r="F53" i="1" s="1"/>
  <c r="I45" i="2"/>
  <c r="I20" i="2"/>
  <c r="E38" i="1"/>
  <c r="E46" i="1" s="1"/>
  <c r="E48" i="1" s="1"/>
  <c r="E53" i="1" s="1"/>
  <c r="K44" i="1"/>
  <c r="K19" i="1"/>
  <c r="H49" i="2"/>
  <c r="D62" i="2" l="1"/>
  <c r="B55" i="2"/>
  <c r="I60" i="1"/>
  <c r="I65" i="1" s="1"/>
  <c r="J60" i="1"/>
  <c r="J65" i="1" s="1"/>
  <c r="D60" i="1"/>
  <c r="D65" i="1" s="1"/>
  <c r="H60" i="1"/>
  <c r="H65" i="1" s="1"/>
  <c r="E60" i="1"/>
  <c r="E65" i="1" s="1"/>
  <c r="F60" i="1"/>
  <c r="F65" i="1" s="1"/>
  <c r="G60" i="1"/>
  <c r="G65" i="1" s="1"/>
  <c r="K60" i="1"/>
  <c r="K65" i="1" s="1"/>
  <c r="L62" i="2"/>
  <c r="L67" i="2" s="1"/>
  <c r="I49" i="2"/>
  <c r="I62" i="2" s="1"/>
  <c r="I67" i="2" s="1"/>
  <c r="J62" i="2"/>
  <c r="J67" i="2" s="1"/>
  <c r="H62" i="2"/>
  <c r="H67" i="2" s="1"/>
  <c r="L50" i="1"/>
  <c r="D67" i="2"/>
  <c r="D68" i="2" s="1"/>
  <c r="E68" i="2" s="1"/>
  <c r="F68" i="2" s="1"/>
  <c r="G68" i="2" s="1"/>
  <c r="C65" i="1"/>
  <c r="C66" i="1" s="1"/>
  <c r="C67" i="1" s="1"/>
  <c r="B57" i="2" l="1"/>
  <c r="B92" i="2"/>
  <c r="B93" i="2" s="1"/>
  <c r="D99" i="2" s="1"/>
  <c r="L60" i="1"/>
  <c r="B55" i="1"/>
  <c r="C77" i="2"/>
  <c r="B74" i="2"/>
  <c r="B54" i="1"/>
  <c r="B88" i="1" s="1"/>
  <c r="B89" i="1" s="1"/>
  <c r="H68" i="2"/>
  <c r="I68" i="2" s="1"/>
  <c r="J68" i="2" s="1"/>
  <c r="K68" i="2" s="1"/>
  <c r="L68" i="2" s="1"/>
  <c r="L69" i="2" s="1"/>
  <c r="B63" i="2"/>
  <c r="D66" i="1"/>
  <c r="D95" i="1" l="1"/>
  <c r="G9" i="3"/>
  <c r="B56" i="1"/>
  <c r="B71" i="1" s="1"/>
  <c r="E66" i="1"/>
  <c r="D67" i="1"/>
  <c r="L65" i="1"/>
  <c r="B61" i="1"/>
  <c r="B74" i="1" l="1"/>
  <c r="A9" i="3"/>
  <c r="F66" i="1"/>
  <c r="E67" i="1"/>
  <c r="G66" i="1" l="1"/>
  <c r="F67" i="1"/>
  <c r="H66" i="1" l="1"/>
  <c r="G67" i="1"/>
  <c r="I66" i="1" l="1"/>
  <c r="H67" i="1"/>
  <c r="J66" i="1" l="1"/>
  <c r="I67" i="1"/>
  <c r="K67" i="1" l="1"/>
  <c r="J67" i="1"/>
</calcChain>
</file>

<file path=xl/sharedStrings.xml><?xml version="1.0" encoding="utf-8"?>
<sst xmlns="http://schemas.openxmlformats.org/spreadsheetml/2006/main" count="159" uniqueCount="83">
  <si>
    <t>Revenue</t>
  </si>
  <si>
    <t>Revenue Growth</t>
  </si>
  <si>
    <t>Total Production Costs</t>
  </si>
  <si>
    <t>Depreciation</t>
  </si>
  <si>
    <t>Total Operating Expenses</t>
  </si>
  <si>
    <t>Working Capital Assumptions:</t>
  </si>
  <si>
    <t>Minimum Cash Balance as % of Sales</t>
  </si>
  <si>
    <t>Days Sales Outstanding</t>
  </si>
  <si>
    <t>Capital Expenditures</t>
  </si>
  <si>
    <t>Operating Profit</t>
  </si>
  <si>
    <t>New Heritage Doll Company: Capital Budgeting</t>
  </si>
  <si>
    <t>Selling, General &amp; Administrative</t>
  </si>
  <si>
    <t>Fixed Production Expense (excl depreciation)</t>
  </si>
  <si>
    <t>Production Costs</t>
  </si>
  <si>
    <r>
      <t xml:space="preserve">NPV Analysis for </t>
    </r>
    <r>
      <rPr>
        <b/>
        <i/>
        <sz val="12"/>
        <color theme="1"/>
        <rFont val="Times New Roman"/>
        <family val="1"/>
      </rPr>
      <t xml:space="preserve">Match My Doll Clothing </t>
    </r>
    <r>
      <rPr>
        <b/>
        <sz val="12"/>
        <color theme="1"/>
        <rFont val="Times New Roman"/>
        <family val="1"/>
      </rPr>
      <t>Line Extension</t>
    </r>
  </si>
  <si>
    <t>Cash</t>
  </si>
  <si>
    <t>Accounts Receivable</t>
  </si>
  <si>
    <t>Inventory</t>
  </si>
  <si>
    <t>Accounts Payable</t>
  </si>
  <si>
    <t>plus depreciation</t>
  </si>
  <si>
    <t>less capital expenditures</t>
  </si>
  <si>
    <t>Present value</t>
  </si>
  <si>
    <t>Net Present Value</t>
  </si>
  <si>
    <t>NPV Analysis</t>
  </si>
  <si>
    <t>Terminal value</t>
  </si>
  <si>
    <t>Discount factor</t>
  </si>
  <si>
    <t xml:space="preserve">Discount factor </t>
  </si>
  <si>
    <t xml:space="preserve">Terminal value </t>
  </si>
  <si>
    <t>IRR Analysis</t>
  </si>
  <si>
    <t>Cash Flows</t>
  </si>
  <si>
    <t>IRR</t>
  </si>
  <si>
    <t>Payback Analysis</t>
  </si>
  <si>
    <t>Cash flows</t>
  </si>
  <si>
    <t>Cumulative cash flow</t>
  </si>
  <si>
    <t>Payback period</t>
  </si>
  <si>
    <t>Additional development costs (IT personnel)</t>
  </si>
  <si>
    <t>Profitability Index</t>
  </si>
  <si>
    <t>NPV/Initial Investment</t>
  </si>
  <si>
    <t>Discount rate</t>
  </si>
  <si>
    <t xml:space="preserve">        TV growth rate</t>
  </si>
  <si>
    <r>
      <t xml:space="preserve">NPV of </t>
    </r>
    <r>
      <rPr>
        <i/>
        <sz val="9"/>
        <color theme="1"/>
        <rFont val="Times New Roman"/>
        <family val="1"/>
      </rPr>
      <t xml:space="preserve">Match My Doll Clothing </t>
    </r>
    <r>
      <rPr>
        <sz val="9"/>
        <color theme="1"/>
        <rFont val="Times New Roman"/>
        <family val="1"/>
      </rPr>
      <t>Line Extension</t>
    </r>
  </si>
  <si>
    <t>NPV Sensitivity Analyses</t>
  </si>
  <si>
    <r>
      <t xml:space="preserve">NPV of </t>
    </r>
    <r>
      <rPr>
        <i/>
        <sz val="9"/>
        <color theme="1"/>
        <rFont val="Times New Roman"/>
        <family val="1"/>
      </rPr>
      <t>Design Your Own Doll</t>
    </r>
  </si>
  <si>
    <t>TV=BV of</t>
  </si>
  <si>
    <t>NWC + PPE</t>
  </si>
  <si>
    <t xml:space="preserve">NPV if </t>
  </si>
  <si>
    <t>Variable Production Costs</t>
  </si>
  <si>
    <t>Days Payable Outstanding (based on tot. op. exp.)</t>
  </si>
  <si>
    <t>Inventory Turnover (prod. cost/ending inv.)</t>
  </si>
  <si>
    <t>Growth in capex</t>
  </si>
  <si>
    <t>5-year Cumulative EBITDA</t>
  </si>
  <si>
    <t xml:space="preserve"> </t>
  </si>
  <si>
    <t>Working Capital Requirements</t>
  </si>
  <si>
    <t>Working Capital Requirements Assumptions:</t>
  </si>
  <si>
    <t>NOPAT</t>
  </si>
  <si>
    <t>Operational Cash Flows</t>
  </si>
  <si>
    <t>Net Operational Cash Flow</t>
  </si>
  <si>
    <t>Present value of terminal value</t>
  </si>
  <si>
    <t>Present value of Terminal Value</t>
  </si>
  <si>
    <r>
      <t xml:space="preserve">less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Times New Roman"/>
        <family val="1"/>
      </rPr>
      <t>NWC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</si>
  <si>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Times New Roman"/>
        <family val="1"/>
      </rPr>
      <t>WCR</t>
    </r>
  </si>
  <si>
    <r>
      <t xml:space="preserve">less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Times New Roman"/>
        <family val="1"/>
      </rPr>
      <t>WCR</t>
    </r>
  </si>
  <si>
    <t>Long term growth rate</t>
  </si>
  <si>
    <t xml:space="preserve">Revenue </t>
  </si>
  <si>
    <t>Variable production costs % of revenues</t>
  </si>
  <si>
    <t>Operating margin ratio</t>
  </si>
  <si>
    <t>SG&amp;A/Sales ratio</t>
  </si>
  <si>
    <t>Capital Expenditures to Revenues ratio</t>
  </si>
  <si>
    <t>Payback period (years)</t>
  </si>
  <si>
    <t>NPV</t>
  </si>
  <si>
    <t>NPV of forecasted years</t>
  </si>
  <si>
    <t>Growth rate in the long term</t>
  </si>
  <si>
    <t>Variable Production Costs % of revenues</t>
  </si>
  <si>
    <r>
      <t xml:space="preserve">NPV Analysis for </t>
    </r>
    <r>
      <rPr>
        <b/>
        <i/>
        <sz val="11"/>
        <color theme="1"/>
        <rFont val="Times New Roman"/>
        <family val="1"/>
      </rPr>
      <t>Design Your Own Doll</t>
    </r>
  </si>
  <si>
    <t>Capital expenditures to revenues</t>
  </si>
  <si>
    <t xml:space="preserve">Trade cycle in % of revenues </t>
  </si>
  <si>
    <t>Gross fixed assets</t>
  </si>
  <si>
    <t>Cumulative depreciation</t>
  </si>
  <si>
    <t>Net fixed assets</t>
  </si>
  <si>
    <t>WCR including minimum cash</t>
  </si>
  <si>
    <t>Invested capital</t>
  </si>
  <si>
    <t>PV of invested capital at terminal value</t>
  </si>
  <si>
    <t>Managerial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</si>
</sst>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_);\(0\)"/>
    <numFmt numFmtId="168" formatCode="0.0%"/>
    <numFmt numFmtId="169" formatCode="#,##0.0&quot;x&quot;;\(#,##0.0&quot;x&quot;\)"/>
    <numFmt numFmtId="170" formatCode="0.0000"/>
    <numFmt numFmtId="171" formatCode="0.000"/>
    <numFmt numFmtId="172" formatCode="_(&quot;$&quot;* #,##0_);_(&quot;$&quot;* \(#,##0\);_(&quot;$&quot;* &quot;-&quot;??_);_(@_)"/>
    <numFmt numFmtId="173" formatCode="0.0000_);\(0.0000\)"/>
    <numFmt numFmtId="174" formatCode="_(* #,##0_);_(* \(#,##0\);_(* &quot;-&quot;??_);_(@_)"/>
    <numFmt numFmtId="175" formatCode="#,##0.000_);\(#,##0.000\)"/>
    <numFmt numFmtId="176" formatCode="#,##0.00&quot;x&quot;;\(#,##0.00&quot;x&quot;\)"/>
    <numFmt numFmtId="177" formatCode="[$$-409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theme="1"/>
      <name val="Symbol"/>
      <family val="1"/>
      <charset val="2"/>
    </font>
    <font>
      <b/>
      <i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5" fillId="0" borderId="0" xfId="0" applyFont="1"/>
    <xf numFmtId="9" fontId="2" fillId="0" borderId="0" xfId="3" applyFont="1"/>
    <xf numFmtId="10" fontId="2" fillId="0" borderId="0" xfId="3" applyNumberFormat="1" applyFont="1" applyAlignment="1">
      <alignment horizontal="center"/>
    </xf>
    <xf numFmtId="0" fontId="7" fillId="0" borderId="0" xfId="0" applyFont="1"/>
    <xf numFmtId="172" fontId="2" fillId="0" borderId="5" xfId="2" applyNumberFormat="1" applyFont="1" applyBorder="1"/>
    <xf numFmtId="0" fontId="2" fillId="0" borderId="0" xfId="0" applyFont="1" applyAlignment="1">
      <alignment horizontal="center"/>
    </xf>
    <xf numFmtId="172" fontId="3" fillId="0" borderId="5" xfId="2" applyNumberFormat="1" applyFont="1" applyBorder="1"/>
    <xf numFmtId="172" fontId="2" fillId="0" borderId="0" xfId="0" applyNumberFormat="1" applyFont="1"/>
    <xf numFmtId="37" fontId="9" fillId="0" borderId="0" xfId="0" applyNumberFormat="1" applyFont="1"/>
    <xf numFmtId="37" fontId="10" fillId="0" borderId="0" xfId="0" applyNumberFormat="1" applyFont="1"/>
    <xf numFmtId="167" fontId="9" fillId="2" borderId="1" xfId="0" applyNumberFormat="1" applyFont="1" applyFill="1" applyBorder="1"/>
    <xf numFmtId="167" fontId="9" fillId="2" borderId="2" xfId="0" applyNumberFormat="1" applyFont="1" applyFill="1" applyBorder="1"/>
    <xf numFmtId="167" fontId="9" fillId="2" borderId="3" xfId="0" applyNumberFormat="1" applyFont="1" applyFill="1" applyBorder="1"/>
    <xf numFmtId="0" fontId="0" fillId="0" borderId="0" xfId="0" applyFont="1"/>
    <xf numFmtId="37" fontId="10" fillId="0" borderId="0" xfId="0" applyNumberFormat="1" applyFont="1" applyAlignment="1">
      <alignment horizontal="right"/>
    </xf>
    <xf numFmtId="168" fontId="10" fillId="0" borderId="0" xfId="0" applyNumberFormat="1" applyFont="1"/>
    <xf numFmtId="37" fontId="11" fillId="0" borderId="0" xfId="0" applyNumberFormat="1" applyFont="1"/>
    <xf numFmtId="37" fontId="10" fillId="0" borderId="0" xfId="0" applyNumberFormat="1" applyFont="1" applyBorder="1"/>
    <xf numFmtId="37" fontId="9" fillId="0" borderId="4" xfId="0" applyNumberFormat="1" applyFont="1" applyBorder="1"/>
    <xf numFmtId="37" fontId="10" fillId="0" borderId="4" xfId="0" applyNumberFormat="1" applyFont="1" applyBorder="1"/>
    <xf numFmtId="164" fontId="9" fillId="0" borderId="0" xfId="0" applyNumberFormat="1" applyFont="1"/>
    <xf numFmtId="175" fontId="10" fillId="0" borderId="0" xfId="0" applyNumberFormat="1" applyFont="1"/>
    <xf numFmtId="37" fontId="12" fillId="0" borderId="0" xfId="0" applyNumberFormat="1" applyFont="1"/>
    <xf numFmtId="168" fontId="10" fillId="0" borderId="0" xfId="0" applyNumberFormat="1" applyFont="1" applyAlignment="1">
      <alignment horizontal="right"/>
    </xf>
    <xf numFmtId="168" fontId="13" fillId="0" borderId="0" xfId="0" applyNumberFormat="1" applyFont="1" applyAlignment="1">
      <alignment horizontal="right"/>
    </xf>
    <xf numFmtId="169" fontId="10" fillId="0" borderId="0" xfId="0" applyNumberFormat="1" applyFont="1" applyAlignment="1">
      <alignment horizontal="right"/>
    </xf>
    <xf numFmtId="169" fontId="13" fillId="0" borderId="0" xfId="0" applyNumberFormat="1" applyFont="1" applyAlignment="1">
      <alignment horizontal="right"/>
    </xf>
    <xf numFmtId="176" fontId="13" fillId="0" borderId="0" xfId="0" applyNumberFormat="1" applyFont="1" applyAlignment="1">
      <alignment horizontal="right"/>
    </xf>
    <xf numFmtId="37" fontId="13" fillId="0" borderId="0" xfId="0" applyNumberFormat="1" applyFont="1"/>
    <xf numFmtId="9" fontId="10" fillId="0" borderId="0" xfId="3" applyFont="1"/>
    <xf numFmtId="168" fontId="10" fillId="0" borderId="0" xfId="3" applyNumberFormat="1" applyFont="1"/>
    <xf numFmtId="0" fontId="10" fillId="0" borderId="0" xfId="0" applyFont="1"/>
    <xf numFmtId="0" fontId="9" fillId="0" borderId="0" xfId="0" applyFont="1"/>
    <xf numFmtId="1" fontId="10" fillId="0" borderId="0" xfId="0" applyNumberFormat="1" applyFont="1"/>
    <xf numFmtId="0" fontId="10" fillId="0" borderId="4" xfId="0" applyFont="1" applyBorder="1"/>
    <xf numFmtId="1" fontId="10" fillId="0" borderId="4" xfId="0" applyNumberFormat="1" applyFont="1" applyBorder="1"/>
    <xf numFmtId="1" fontId="9" fillId="0" borderId="0" xfId="0" applyNumberFormat="1" applyFont="1"/>
    <xf numFmtId="171" fontId="10" fillId="0" borderId="0" xfId="0" applyNumberFormat="1" applyFont="1"/>
    <xf numFmtId="0" fontId="15" fillId="0" borderId="0" xfId="0" applyFont="1"/>
    <xf numFmtId="37" fontId="9" fillId="0" borderId="0" xfId="0" applyNumberFormat="1" applyFont="1" applyBorder="1"/>
    <xf numFmtId="164" fontId="10" fillId="0" borderId="0" xfId="0" applyNumberFormat="1" applyFont="1"/>
    <xf numFmtId="164" fontId="10" fillId="0" borderId="4" xfId="0" applyNumberFormat="1" applyFont="1" applyBorder="1"/>
    <xf numFmtId="10" fontId="10" fillId="0" borderId="0" xfId="3" applyNumberFormat="1" applyFont="1"/>
    <xf numFmtId="174" fontId="10" fillId="0" borderId="0" xfId="1" applyNumberFormat="1" applyFont="1"/>
    <xf numFmtId="37" fontId="0" fillId="0" borderId="0" xfId="0" applyNumberFormat="1" applyFont="1"/>
    <xf numFmtId="173" fontId="10" fillId="0" borderId="0" xfId="0" applyNumberFormat="1" applyFont="1"/>
    <xf numFmtId="170" fontId="10" fillId="0" borderId="0" xfId="0" applyNumberFormat="1" applyFont="1"/>
    <xf numFmtId="172" fontId="9" fillId="0" borderId="0" xfId="2" applyNumberFormat="1" applyFont="1"/>
    <xf numFmtId="172" fontId="9" fillId="3" borderId="0" xfId="2" applyNumberFormat="1" applyFont="1" applyFill="1"/>
    <xf numFmtId="168" fontId="9" fillId="3" borderId="0" xfId="0" applyNumberFormat="1" applyFont="1" applyFill="1"/>
    <xf numFmtId="172" fontId="10" fillId="0" borderId="5" xfId="2" applyNumberFormat="1" applyFont="1" applyBorder="1"/>
    <xf numFmtId="172" fontId="9" fillId="0" borderId="5" xfId="2" applyNumberFormat="1" applyFont="1" applyBorder="1"/>
    <xf numFmtId="10" fontId="13" fillId="0" borderId="0" xfId="3" applyNumberFormat="1" applyFont="1"/>
    <xf numFmtId="10" fontId="17" fillId="0" borderId="0" xfId="3" applyNumberFormat="1" applyFont="1"/>
    <xf numFmtId="0" fontId="10" fillId="0" borderId="0" xfId="0" applyFont="1" applyAlignment="1">
      <alignment horizontal="center"/>
    </xf>
    <xf numFmtId="177" fontId="9" fillId="0" borderId="0" xfId="2" applyNumberFormat="1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72" fontId="9" fillId="0" borderId="0" xfId="2" applyNumberFormat="1" applyFont="1" applyBorder="1"/>
    <xf numFmtId="9" fontId="9" fillId="0" borderId="0" xfId="3" applyFont="1"/>
    <xf numFmtId="10" fontId="9" fillId="0" borderId="0" xfId="3" applyNumberFormat="1" applyFont="1" applyAlignment="1">
      <alignment horizontal="center"/>
    </xf>
    <xf numFmtId="168" fontId="9" fillId="0" borderId="0" xfId="3" applyNumberFormat="1" applyFont="1" applyAlignment="1">
      <alignment horizontal="center"/>
    </xf>
    <xf numFmtId="37" fontId="10" fillId="0" borderId="0" xfId="0" applyNumberFormat="1" applyFont="1" applyAlignment="1">
      <alignment horizontal="left" indent="1"/>
    </xf>
    <xf numFmtId="37" fontId="10" fillId="0" borderId="0" xfId="0" applyNumberFormat="1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168" fontId="13" fillId="0" borderId="0" xfId="0" applyNumberFormat="1" applyFont="1"/>
    <xf numFmtId="37" fontId="9" fillId="0" borderId="0" xfId="0" applyNumberFormat="1" applyFont="1" applyAlignment="1">
      <alignment horizontal="left" indent="1"/>
    </xf>
    <xf numFmtId="168" fontId="12" fillId="0" borderId="0" xfId="0" applyNumberFormat="1" applyFont="1"/>
    <xf numFmtId="37" fontId="10" fillId="0" borderId="0" xfId="0" quotePrefix="1" applyNumberFormat="1" applyFont="1" applyBorder="1"/>
    <xf numFmtId="174" fontId="9" fillId="0" borderId="0" xfId="0" applyNumberFormat="1" applyFont="1"/>
    <xf numFmtId="174" fontId="10" fillId="0" borderId="0" xfId="0" applyNumberFormat="1" applyFont="1"/>
    <xf numFmtId="174" fontId="10" fillId="0" borderId="4" xfId="0" applyNumberFormat="1" applyFont="1" applyBorder="1"/>
    <xf numFmtId="174" fontId="9" fillId="0" borderId="0" xfId="1" applyNumberFormat="1" applyFont="1"/>
    <xf numFmtId="172" fontId="10" fillId="0" borderId="0" xfId="0" applyNumberFormat="1" applyFont="1"/>
    <xf numFmtId="168" fontId="9" fillId="0" borderId="0" xfId="0" applyNumberFormat="1" applyFont="1"/>
    <xf numFmtId="2" fontId="9" fillId="0" borderId="0" xfId="2" applyNumberFormat="1" applyFont="1"/>
    <xf numFmtId="0" fontId="8" fillId="0" borderId="0" xfId="0" applyFont="1"/>
    <xf numFmtId="172" fontId="9" fillId="0" borderId="0" xfId="0" applyNumberFormat="1" applyFont="1"/>
    <xf numFmtId="0" fontId="9" fillId="0" borderId="0" xfId="0" applyFont="1" applyAlignment="1"/>
    <xf numFmtId="172" fontId="2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 textRotation="90" wrapText="1"/>
    </xf>
    <xf numFmtId="0" fontId="9" fillId="0" borderId="0" xfId="0" applyFont="1" applyAlignment="1">
      <alignment vertical="center" textRotation="90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0"/>
  <sheetViews>
    <sheetView tabSelected="1" workbookViewId="0">
      <selection activeCell="A4" sqref="A4"/>
    </sheetView>
  </sheetViews>
  <sheetFormatPr defaultRowHeight="14.5" x14ac:dyDescent="0.35"/>
  <cols>
    <col min="1" max="1" width="46.7265625" bestFit="1" customWidth="1"/>
    <col min="2" max="2" width="9.6328125" customWidth="1"/>
    <col min="3" max="3" width="9.26953125" bestFit="1" customWidth="1"/>
    <col min="4" max="12" width="9.54296875" bestFit="1" customWidth="1"/>
  </cols>
  <sheetData>
    <row r="1" spans="1:13" ht="15.5" x14ac:dyDescent="0.35">
      <c r="A1" s="2" t="s">
        <v>10</v>
      </c>
    </row>
    <row r="2" spans="1:13" ht="15.5" x14ac:dyDescent="0.35">
      <c r="A2" s="2"/>
    </row>
    <row r="3" spans="1:13" ht="15.5" x14ac:dyDescent="0.35">
      <c r="A3" s="2" t="s">
        <v>14</v>
      </c>
    </row>
    <row r="5" spans="1:13" s="15" customFormat="1" x14ac:dyDescent="0.35">
      <c r="A5" s="10"/>
      <c r="B5" s="12">
        <v>2010</v>
      </c>
      <c r="C5" s="13">
        <f>B5+1</f>
        <v>2011</v>
      </c>
      <c r="D5" s="13">
        <f t="shared" ref="D5:L5" si="0">C5+1</f>
        <v>2012</v>
      </c>
      <c r="E5" s="13">
        <f t="shared" si="0"/>
        <v>2013</v>
      </c>
      <c r="F5" s="13">
        <f t="shared" si="0"/>
        <v>2014</v>
      </c>
      <c r="G5" s="13">
        <f t="shared" si="0"/>
        <v>2015</v>
      </c>
      <c r="H5" s="13">
        <f t="shared" si="0"/>
        <v>2016</v>
      </c>
      <c r="I5" s="13">
        <f t="shared" si="0"/>
        <v>2017</v>
      </c>
      <c r="J5" s="13">
        <f t="shared" si="0"/>
        <v>2018</v>
      </c>
      <c r="K5" s="13">
        <f t="shared" si="0"/>
        <v>2019</v>
      </c>
      <c r="L5" s="14">
        <f t="shared" si="0"/>
        <v>2020</v>
      </c>
    </row>
    <row r="6" spans="1:13" s="15" customFormat="1" x14ac:dyDescent="0.35">
      <c r="A6" s="11" t="s">
        <v>64</v>
      </c>
      <c r="B6" s="11"/>
      <c r="C6" s="55">
        <v>0.45222222222222225</v>
      </c>
      <c r="D6" s="55">
        <v>0.49618075801749345</v>
      </c>
      <c r="E6" s="55">
        <v>0.51025116544572358</v>
      </c>
      <c r="F6" s="55">
        <v>0.51412211639046412</v>
      </c>
      <c r="G6" s="55">
        <v>0.51778140293637853</v>
      </c>
      <c r="H6" s="55">
        <v>0.52123829142066314</v>
      </c>
      <c r="I6" s="55">
        <v>0.52449853890754172</v>
      </c>
      <c r="J6" s="55">
        <v>0.52759162134162141</v>
      </c>
      <c r="K6" s="55">
        <v>0.53049753816407752</v>
      </c>
      <c r="L6" s="55">
        <v>0.53324497612967703</v>
      </c>
    </row>
    <row r="7" spans="1:13" s="15" customFormat="1" x14ac:dyDescent="0.35">
      <c r="A7" s="10" t="s">
        <v>0</v>
      </c>
      <c r="B7" s="11"/>
    </row>
    <row r="8" spans="1:13" s="15" customFormat="1" x14ac:dyDescent="0.35">
      <c r="A8" s="65" t="s">
        <v>1</v>
      </c>
      <c r="B8" s="11"/>
      <c r="C8" s="16"/>
      <c r="D8" s="54">
        <v>0.52444444444444427</v>
      </c>
      <c r="E8" s="54">
        <v>0.22577259475218664</v>
      </c>
      <c r="F8" s="54">
        <v>7.9999524307868039E-2</v>
      </c>
      <c r="G8" s="54">
        <v>7.9997797720640862E-2</v>
      </c>
      <c r="H8" s="54">
        <v>8.0002039151712875E-2</v>
      </c>
      <c r="I8" s="54">
        <v>7.9999735666017771E-2</v>
      </c>
      <c r="J8" s="54">
        <v>7.9993391648827419E-2</v>
      </c>
      <c r="K8" s="54">
        <v>8.0006798756798753E-2</v>
      </c>
      <c r="L8" s="54">
        <v>8.000029976693121E-2</v>
      </c>
    </row>
    <row r="9" spans="1:13" s="15" customFormat="1" x14ac:dyDescent="0.35">
      <c r="A9" s="10" t="s">
        <v>63</v>
      </c>
      <c r="B9" s="11"/>
      <c r="C9" s="10">
        <v>4500</v>
      </c>
      <c r="D9" s="10">
        <f t="shared" ref="D9:L9" si="1">+C9*(1+D8)</f>
        <v>6859.9999999999991</v>
      </c>
      <c r="E9" s="10">
        <f t="shared" si="1"/>
        <v>8408.7999999999993</v>
      </c>
      <c r="F9" s="10">
        <f t="shared" si="1"/>
        <v>9081.5</v>
      </c>
      <c r="G9" s="10">
        <f t="shared" si="1"/>
        <v>9807.9999999999982</v>
      </c>
      <c r="H9" s="10">
        <f t="shared" si="1"/>
        <v>10592.659999999998</v>
      </c>
      <c r="I9" s="10">
        <f t="shared" si="1"/>
        <v>11440.069999999998</v>
      </c>
      <c r="J9" s="10">
        <f t="shared" si="1"/>
        <v>12355.199999999999</v>
      </c>
      <c r="K9" s="10">
        <f t="shared" si="1"/>
        <v>13343.699999999999</v>
      </c>
      <c r="L9" s="10">
        <f t="shared" si="1"/>
        <v>14411.199999999997</v>
      </c>
    </row>
    <row r="10" spans="1:13" s="15" customFormat="1" x14ac:dyDescent="0.35">
      <c r="A10" s="10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15" customFormat="1" x14ac:dyDescent="0.35">
      <c r="A11" s="65" t="s">
        <v>12</v>
      </c>
      <c r="B11" s="11"/>
      <c r="C11" s="18">
        <v>575</v>
      </c>
      <c r="D11" s="11">
        <v>575</v>
      </c>
      <c r="E11" s="11">
        <v>586.5</v>
      </c>
      <c r="F11" s="11">
        <v>598.20000000000005</v>
      </c>
      <c r="G11" s="11">
        <v>610.1</v>
      </c>
      <c r="H11" s="11">
        <v>622.29999999999995</v>
      </c>
      <c r="I11" s="11">
        <v>634.79999999999995</v>
      </c>
      <c r="J11" s="11">
        <v>647.5</v>
      </c>
      <c r="K11" s="11">
        <v>660.4</v>
      </c>
      <c r="L11" s="11">
        <v>673.7</v>
      </c>
    </row>
    <row r="12" spans="1:13" s="15" customFormat="1" x14ac:dyDescent="0.35">
      <c r="A12" s="65" t="s">
        <v>46</v>
      </c>
      <c r="B12" s="19"/>
      <c r="C12" s="19">
        <f>+C6*C9</f>
        <v>2035.0000000000002</v>
      </c>
      <c r="D12" s="19">
        <f t="shared" ref="D12:L12" si="2">+D6*D9</f>
        <v>3403.8000000000047</v>
      </c>
      <c r="E12" s="19">
        <f t="shared" si="2"/>
        <v>4290.6000000000004</v>
      </c>
      <c r="F12" s="19">
        <f t="shared" si="2"/>
        <v>4669</v>
      </c>
      <c r="G12" s="19">
        <f t="shared" si="2"/>
        <v>5078.3999999999996</v>
      </c>
      <c r="H12" s="19">
        <f t="shared" si="2"/>
        <v>5521.3</v>
      </c>
      <c r="I12" s="19">
        <f t="shared" si="2"/>
        <v>6000.3</v>
      </c>
      <c r="J12" s="19">
        <f t="shared" si="2"/>
        <v>6518.5</v>
      </c>
      <c r="K12" s="19">
        <f t="shared" si="2"/>
        <v>7078.8</v>
      </c>
      <c r="L12" s="19">
        <f t="shared" si="2"/>
        <v>7684.7</v>
      </c>
    </row>
    <row r="13" spans="1:13" s="15" customFormat="1" x14ac:dyDescent="0.35">
      <c r="A13" s="65" t="s">
        <v>3</v>
      </c>
      <c r="B13" s="20"/>
      <c r="C13" s="21">
        <v>152.19999999999999</v>
      </c>
      <c r="D13" s="21">
        <v>152.19999999999999</v>
      </c>
      <c r="E13" s="21">
        <v>152.19999999999999</v>
      </c>
      <c r="F13" s="21">
        <v>152.19999999999999</v>
      </c>
      <c r="G13" s="21">
        <v>164.4</v>
      </c>
      <c r="H13" s="21">
        <v>177.5</v>
      </c>
      <c r="I13" s="21">
        <v>191.7</v>
      </c>
      <c r="J13" s="21">
        <v>207.1</v>
      </c>
      <c r="K13" s="21">
        <v>223.6</v>
      </c>
      <c r="L13" s="21">
        <v>241.5</v>
      </c>
      <c r="M13" s="46">
        <f>SUM(C13:L13)</f>
        <v>1814.5999999999997</v>
      </c>
    </row>
    <row r="14" spans="1:13" s="15" customFormat="1" x14ac:dyDescent="0.35">
      <c r="A14" s="10" t="s">
        <v>2</v>
      </c>
      <c r="B14" s="10">
        <f>B12+B11</f>
        <v>0</v>
      </c>
      <c r="C14" s="10">
        <f t="shared" ref="C14:L14" si="3">C13+C12+C11</f>
        <v>2762.2000000000003</v>
      </c>
      <c r="D14" s="10">
        <f t="shared" si="3"/>
        <v>4131.0000000000045</v>
      </c>
      <c r="E14" s="10">
        <f t="shared" si="3"/>
        <v>5029.3</v>
      </c>
      <c r="F14" s="10">
        <f t="shared" si="3"/>
        <v>5419.4</v>
      </c>
      <c r="G14" s="10">
        <f t="shared" si="3"/>
        <v>5852.9</v>
      </c>
      <c r="H14" s="10">
        <f t="shared" si="3"/>
        <v>6321.1</v>
      </c>
      <c r="I14" s="10">
        <f t="shared" si="3"/>
        <v>6826.8</v>
      </c>
      <c r="J14" s="10">
        <f t="shared" si="3"/>
        <v>7373.1</v>
      </c>
      <c r="K14" s="10">
        <f t="shared" si="3"/>
        <v>7962.8</v>
      </c>
      <c r="L14" s="10">
        <f t="shared" si="3"/>
        <v>8599.9</v>
      </c>
    </row>
    <row r="15" spans="1:13" s="15" customFormat="1" x14ac:dyDescent="0.35">
      <c r="A15" s="10" t="s">
        <v>11</v>
      </c>
      <c r="B15" s="20">
        <v>1250</v>
      </c>
      <c r="C15" s="20">
        <v>1155</v>
      </c>
      <c r="D15" s="20">
        <v>1735</v>
      </c>
      <c r="E15" s="20">
        <v>2102.1999999999998</v>
      </c>
      <c r="F15" s="20">
        <v>2270.3000000000002</v>
      </c>
      <c r="G15" s="20">
        <v>2452</v>
      </c>
      <c r="H15" s="20">
        <v>2648.1</v>
      </c>
      <c r="I15" s="20">
        <v>2860</v>
      </c>
      <c r="J15" s="20">
        <v>3088.8</v>
      </c>
      <c r="K15" s="20">
        <v>3335.9</v>
      </c>
      <c r="L15" s="20">
        <v>3602.8</v>
      </c>
    </row>
    <row r="16" spans="1:13" s="15" customFormat="1" x14ac:dyDescent="0.35">
      <c r="A16" s="10" t="s">
        <v>4</v>
      </c>
      <c r="B16" s="10">
        <f>B15+B14</f>
        <v>1250</v>
      </c>
      <c r="C16" s="10">
        <f t="shared" ref="C16:L16" si="4">C15+C14</f>
        <v>3917.2000000000003</v>
      </c>
      <c r="D16" s="10">
        <f t="shared" si="4"/>
        <v>5866.0000000000045</v>
      </c>
      <c r="E16" s="10">
        <f t="shared" si="4"/>
        <v>7131.5</v>
      </c>
      <c r="F16" s="10">
        <f t="shared" si="4"/>
        <v>7689.7</v>
      </c>
      <c r="G16" s="10">
        <f t="shared" si="4"/>
        <v>8304.9</v>
      </c>
      <c r="H16" s="10">
        <f t="shared" si="4"/>
        <v>8969.2000000000007</v>
      </c>
      <c r="I16" s="10">
        <f t="shared" si="4"/>
        <v>9686.7999999999993</v>
      </c>
      <c r="J16" s="10">
        <f t="shared" si="4"/>
        <v>10461.900000000001</v>
      </c>
      <c r="K16" s="10">
        <f t="shared" si="4"/>
        <v>11298.7</v>
      </c>
      <c r="L16" s="10">
        <f t="shared" si="4"/>
        <v>12202.7</v>
      </c>
    </row>
    <row r="17" spans="1:13" s="15" customForma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3" s="15" customFormat="1" x14ac:dyDescent="0.35">
      <c r="A18" s="10" t="s">
        <v>9</v>
      </c>
      <c r="B18" s="22">
        <f t="shared" ref="B18" si="5">B7-B16</f>
        <v>-1250</v>
      </c>
      <c r="C18" s="22">
        <f t="shared" ref="C18:L18" si="6">C9-C16</f>
        <v>582.79999999999973</v>
      </c>
      <c r="D18" s="22">
        <f t="shared" si="6"/>
        <v>993.99999999999454</v>
      </c>
      <c r="E18" s="22">
        <f t="shared" si="6"/>
        <v>1277.2999999999993</v>
      </c>
      <c r="F18" s="22">
        <f t="shared" si="6"/>
        <v>1391.8000000000002</v>
      </c>
      <c r="G18" s="22">
        <f t="shared" si="6"/>
        <v>1503.0999999999985</v>
      </c>
      <c r="H18" s="22">
        <f t="shared" si="6"/>
        <v>1623.4599999999973</v>
      </c>
      <c r="I18" s="22">
        <f t="shared" si="6"/>
        <v>1753.2699999999986</v>
      </c>
      <c r="J18" s="22">
        <f t="shared" si="6"/>
        <v>1893.2999999999975</v>
      </c>
      <c r="K18" s="22">
        <f t="shared" si="6"/>
        <v>2044.9999999999982</v>
      </c>
      <c r="L18" s="22">
        <f t="shared" si="6"/>
        <v>2208.4999999999964</v>
      </c>
    </row>
    <row r="19" spans="1:13" s="15" customFormat="1" x14ac:dyDescent="0.35">
      <c r="A19" s="11" t="s">
        <v>65</v>
      </c>
      <c r="B19" s="23"/>
      <c r="C19" s="32">
        <f t="shared" ref="C19:L19" si="7">C18/C9</f>
        <v>0.12951111111111105</v>
      </c>
      <c r="D19" s="32">
        <f t="shared" si="7"/>
        <v>0.14489795918367268</v>
      </c>
      <c r="E19" s="32">
        <f t="shared" si="7"/>
        <v>0.15190039006754821</v>
      </c>
      <c r="F19" s="32">
        <f t="shared" si="7"/>
        <v>0.15325662060232342</v>
      </c>
      <c r="G19" s="32">
        <f t="shared" si="7"/>
        <v>0.15325244698205534</v>
      </c>
      <c r="H19" s="32">
        <f t="shared" si="7"/>
        <v>0.15326273098541798</v>
      </c>
      <c r="I19" s="32">
        <f t="shared" si="7"/>
        <v>0.15325692937193558</v>
      </c>
      <c r="J19" s="32">
        <f t="shared" si="7"/>
        <v>0.15323912198912179</v>
      </c>
      <c r="K19" s="32">
        <f t="shared" si="7"/>
        <v>0.15325584358161518</v>
      </c>
      <c r="L19" s="32">
        <f t="shared" si="7"/>
        <v>0.15324886199622495</v>
      </c>
    </row>
    <row r="20" spans="1:13" s="15" customFormat="1" x14ac:dyDescent="0.35">
      <c r="A20" s="11" t="s">
        <v>66</v>
      </c>
      <c r="B20" s="11"/>
      <c r="C20" s="32">
        <f t="shared" ref="C20:L20" si="8">C15/C9</f>
        <v>0.25666666666666665</v>
      </c>
      <c r="D20" s="32">
        <f t="shared" si="8"/>
        <v>0.25291545189504377</v>
      </c>
      <c r="E20" s="32">
        <f t="shared" si="8"/>
        <v>0.25</v>
      </c>
      <c r="F20" s="32">
        <f t="shared" si="8"/>
        <v>0.24999174145240327</v>
      </c>
      <c r="G20" s="32">
        <f t="shared" si="8"/>
        <v>0.25000000000000006</v>
      </c>
      <c r="H20" s="32">
        <f t="shared" si="8"/>
        <v>0.24999386367541301</v>
      </c>
      <c r="I20" s="32">
        <f t="shared" si="8"/>
        <v>0.24999847028908045</v>
      </c>
      <c r="J20" s="32">
        <f t="shared" si="8"/>
        <v>0.25000000000000006</v>
      </c>
      <c r="K20" s="32">
        <f t="shared" si="8"/>
        <v>0.24999812645667996</v>
      </c>
      <c r="L20" s="32">
        <f t="shared" si="8"/>
        <v>0.25000000000000006</v>
      </c>
    </row>
    <row r="21" spans="1:13" s="15" customFormat="1" x14ac:dyDescent="0.35">
      <c r="A21" s="10"/>
      <c r="B21" s="11"/>
      <c r="C21" s="32"/>
      <c r="D21" s="23"/>
      <c r="E21" s="23"/>
      <c r="F21" s="23"/>
      <c r="G21" s="23"/>
      <c r="H21" s="23"/>
      <c r="I21" s="23"/>
      <c r="J21" s="23"/>
      <c r="K21" s="23"/>
      <c r="L21" s="23"/>
    </row>
    <row r="22" spans="1:13" s="15" customFormat="1" x14ac:dyDescent="0.35">
      <c r="A22" s="24" t="s">
        <v>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3" s="15" customFormat="1" x14ac:dyDescent="0.35">
      <c r="A23" s="65" t="s">
        <v>6</v>
      </c>
      <c r="B23" s="25"/>
      <c r="C23" s="26">
        <v>0.03</v>
      </c>
      <c r="D23" s="25">
        <f>+C23</f>
        <v>0.03</v>
      </c>
      <c r="E23" s="25">
        <f t="shared" ref="E23:L24" si="9">+D23</f>
        <v>0.03</v>
      </c>
      <c r="F23" s="25">
        <f t="shared" si="9"/>
        <v>0.03</v>
      </c>
      <c r="G23" s="25">
        <f t="shared" si="9"/>
        <v>0.03</v>
      </c>
      <c r="H23" s="25">
        <f t="shared" si="9"/>
        <v>0.03</v>
      </c>
      <c r="I23" s="25">
        <f t="shared" si="9"/>
        <v>0.03</v>
      </c>
      <c r="J23" s="25">
        <f t="shared" si="9"/>
        <v>0.03</v>
      </c>
      <c r="K23" s="25">
        <f t="shared" si="9"/>
        <v>0.03</v>
      </c>
      <c r="L23" s="25">
        <f t="shared" si="9"/>
        <v>0.03</v>
      </c>
    </row>
    <row r="24" spans="1:13" s="15" customFormat="1" x14ac:dyDescent="0.35">
      <c r="A24" s="65" t="s">
        <v>7</v>
      </c>
      <c r="B24" s="27"/>
      <c r="C24" s="28">
        <v>59.2</v>
      </c>
      <c r="D24" s="27">
        <f>+C24</f>
        <v>59.2</v>
      </c>
      <c r="E24" s="27">
        <f t="shared" si="9"/>
        <v>59.2</v>
      </c>
      <c r="F24" s="27">
        <f t="shared" si="9"/>
        <v>59.2</v>
      </c>
      <c r="G24" s="27">
        <f t="shared" si="9"/>
        <v>59.2</v>
      </c>
      <c r="H24" s="27">
        <f t="shared" si="9"/>
        <v>59.2</v>
      </c>
      <c r="I24" s="27">
        <f t="shared" si="9"/>
        <v>59.2</v>
      </c>
      <c r="J24" s="27">
        <f t="shared" si="9"/>
        <v>59.2</v>
      </c>
      <c r="K24" s="27">
        <f t="shared" si="9"/>
        <v>59.2</v>
      </c>
      <c r="L24" s="27">
        <f t="shared" si="9"/>
        <v>59.2</v>
      </c>
    </row>
    <row r="25" spans="1:13" s="15" customFormat="1" x14ac:dyDescent="0.35">
      <c r="A25" s="65" t="s">
        <v>48</v>
      </c>
      <c r="B25" s="27"/>
      <c r="C25" s="29">
        <v>7.7</v>
      </c>
      <c r="D25" s="29">
        <v>8.3000000000000007</v>
      </c>
      <c r="E25" s="28">
        <v>12.7</v>
      </c>
      <c r="F25" s="27">
        <f>+E25</f>
        <v>12.7</v>
      </c>
      <c r="G25" s="27">
        <f t="shared" ref="G25:L25" si="10">+F25</f>
        <v>12.7</v>
      </c>
      <c r="H25" s="27">
        <f t="shared" si="10"/>
        <v>12.7</v>
      </c>
      <c r="I25" s="27">
        <f t="shared" si="10"/>
        <v>12.7</v>
      </c>
      <c r="J25" s="27">
        <f t="shared" si="10"/>
        <v>12.7</v>
      </c>
      <c r="K25" s="27">
        <f t="shared" si="10"/>
        <v>12.7</v>
      </c>
      <c r="L25" s="27">
        <f t="shared" si="10"/>
        <v>12.7</v>
      </c>
    </row>
    <row r="26" spans="1:13" s="15" customFormat="1" x14ac:dyDescent="0.35">
      <c r="A26" s="65" t="s">
        <v>47</v>
      </c>
      <c r="B26" s="27"/>
      <c r="C26" s="28">
        <v>30.8</v>
      </c>
      <c r="D26" s="28">
        <v>30.9</v>
      </c>
      <c r="E26" s="28">
        <v>31</v>
      </c>
      <c r="F26" s="27">
        <f>+E26</f>
        <v>31</v>
      </c>
      <c r="G26" s="27">
        <f t="shared" ref="G26:L26" si="11">+F26</f>
        <v>31</v>
      </c>
      <c r="H26" s="27">
        <f t="shared" si="11"/>
        <v>31</v>
      </c>
      <c r="I26" s="27">
        <f t="shared" si="11"/>
        <v>31</v>
      </c>
      <c r="J26" s="27">
        <f t="shared" si="11"/>
        <v>31</v>
      </c>
      <c r="K26" s="27">
        <f t="shared" si="11"/>
        <v>31</v>
      </c>
      <c r="L26" s="27">
        <f t="shared" si="11"/>
        <v>31</v>
      </c>
    </row>
    <row r="27" spans="1:13" s="15" customForma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3" s="15" customFormat="1" x14ac:dyDescent="0.35">
      <c r="A28" s="11" t="s">
        <v>8</v>
      </c>
      <c r="B28" s="30">
        <v>1470</v>
      </c>
      <c r="C28" s="30">
        <v>952</v>
      </c>
      <c r="D28" s="30">
        <v>152</v>
      </c>
      <c r="E28" s="30">
        <v>152</v>
      </c>
      <c r="F28" s="30">
        <v>334</v>
      </c>
      <c r="G28" s="30">
        <v>361</v>
      </c>
      <c r="H28" s="30">
        <v>389</v>
      </c>
      <c r="I28" s="30">
        <v>421</v>
      </c>
      <c r="J28" s="30">
        <v>454</v>
      </c>
      <c r="K28" s="30">
        <v>491</v>
      </c>
      <c r="L28" s="30">
        <v>530</v>
      </c>
      <c r="M28" s="46">
        <f>SUM(B28:L28)</f>
        <v>5706</v>
      </c>
    </row>
    <row r="29" spans="1:13" s="15" customFormat="1" x14ac:dyDescent="0.35">
      <c r="A29" s="19" t="s">
        <v>49</v>
      </c>
      <c r="B29" s="11"/>
      <c r="C29" s="31">
        <f>C28/B28 -1</f>
        <v>-0.35238095238095235</v>
      </c>
      <c r="D29" s="32">
        <f t="shared" ref="D29:L29" si="12">D28/C28 -1</f>
        <v>-0.84033613445378152</v>
      </c>
      <c r="E29" s="32">
        <f t="shared" si="12"/>
        <v>0</v>
      </c>
      <c r="F29" s="32">
        <f t="shared" si="12"/>
        <v>1.1973684210526314</v>
      </c>
      <c r="G29" s="32">
        <f t="shared" si="12"/>
        <v>8.083832335329344E-2</v>
      </c>
      <c r="H29" s="32">
        <f t="shared" si="12"/>
        <v>7.756232686980602E-2</v>
      </c>
      <c r="I29" s="32">
        <f t="shared" si="12"/>
        <v>8.2262210796915092E-2</v>
      </c>
      <c r="J29" s="32">
        <f t="shared" si="12"/>
        <v>7.8384798099762509E-2</v>
      </c>
      <c r="K29" s="32">
        <f t="shared" si="12"/>
        <v>8.1497797356828272E-2</v>
      </c>
      <c r="L29" s="32">
        <f t="shared" si="12"/>
        <v>7.9429735234215926E-2</v>
      </c>
    </row>
    <row r="30" spans="1:13" s="33" customFormat="1" ht="14" x14ac:dyDescent="0.3">
      <c r="A30" s="33" t="s">
        <v>67</v>
      </c>
      <c r="C30" s="32">
        <f t="shared" ref="C30:L30" si="13">+C28/C9</f>
        <v>0.21155555555555555</v>
      </c>
      <c r="D30" s="32">
        <f t="shared" si="13"/>
        <v>2.2157434402332365E-2</v>
      </c>
      <c r="E30" s="32">
        <f t="shared" si="13"/>
        <v>1.8076301017981165E-2</v>
      </c>
      <c r="F30" s="32">
        <f t="shared" si="13"/>
        <v>3.6778065297582999E-2</v>
      </c>
      <c r="G30" s="32">
        <f t="shared" si="13"/>
        <v>3.6806688417618277E-2</v>
      </c>
      <c r="H30" s="32">
        <f t="shared" si="13"/>
        <v>3.6723542528505591E-2</v>
      </c>
      <c r="I30" s="32">
        <f t="shared" si="13"/>
        <v>3.6800474122973027E-2</v>
      </c>
      <c r="J30" s="32">
        <f t="shared" si="13"/>
        <v>3.6745661745661747E-2</v>
      </c>
      <c r="K30" s="32">
        <f t="shared" si="13"/>
        <v>3.6796390806148223E-2</v>
      </c>
      <c r="L30" s="32">
        <f t="shared" si="13"/>
        <v>3.6776951260131016E-2</v>
      </c>
    </row>
    <row r="31" spans="1:13" s="33" customFormat="1" ht="14" x14ac:dyDescent="0.3"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s="33" customFormat="1" ht="14" x14ac:dyDescent="0.3">
      <c r="A32" s="34" t="s">
        <v>52</v>
      </c>
      <c r="B32" s="12">
        <v>2010</v>
      </c>
      <c r="C32" s="13">
        <f>B32+1</f>
        <v>2011</v>
      </c>
      <c r="D32" s="13">
        <f t="shared" ref="D32" si="14">C32+1</f>
        <v>2012</v>
      </c>
      <c r="E32" s="13">
        <f t="shared" ref="E32" si="15">D32+1</f>
        <v>2013</v>
      </c>
      <c r="F32" s="13">
        <f t="shared" ref="F32" si="16">E32+1</f>
        <v>2014</v>
      </c>
      <c r="G32" s="13">
        <f t="shared" ref="G32" si="17">F32+1</f>
        <v>2015</v>
      </c>
      <c r="H32" s="13">
        <f t="shared" ref="H32" si="18">G32+1</f>
        <v>2016</v>
      </c>
      <c r="I32" s="13">
        <f t="shared" ref="I32" si="19">H32+1</f>
        <v>2017</v>
      </c>
      <c r="J32" s="13">
        <f t="shared" ref="J32" si="20">I32+1</f>
        <v>2018</v>
      </c>
      <c r="K32" s="13">
        <f t="shared" ref="K32" si="21">J32+1</f>
        <v>2019</v>
      </c>
      <c r="L32" s="14">
        <f t="shared" ref="L32" si="22">K32+1</f>
        <v>2020</v>
      </c>
    </row>
    <row r="33" spans="1:12" s="33" customFormat="1" ht="14" x14ac:dyDescent="0.3">
      <c r="A33" s="67" t="s">
        <v>15</v>
      </c>
      <c r="C33" s="35">
        <f t="shared" ref="C33:L33" si="23">C23*C9</f>
        <v>135</v>
      </c>
      <c r="D33" s="35">
        <f t="shared" si="23"/>
        <v>205.79999999999995</v>
      </c>
      <c r="E33" s="35">
        <f t="shared" si="23"/>
        <v>252.26399999999998</v>
      </c>
      <c r="F33" s="35">
        <f t="shared" si="23"/>
        <v>272.44499999999999</v>
      </c>
      <c r="G33" s="35">
        <f t="shared" si="23"/>
        <v>294.23999999999995</v>
      </c>
      <c r="H33" s="35">
        <f t="shared" si="23"/>
        <v>317.77979999999991</v>
      </c>
      <c r="I33" s="35">
        <f t="shared" si="23"/>
        <v>343.20209999999992</v>
      </c>
      <c r="J33" s="35">
        <f t="shared" si="23"/>
        <v>370.65599999999995</v>
      </c>
      <c r="K33" s="35">
        <f t="shared" si="23"/>
        <v>400.31099999999998</v>
      </c>
      <c r="L33" s="35">
        <f t="shared" si="23"/>
        <v>432.3359999999999</v>
      </c>
    </row>
    <row r="34" spans="1:12" s="33" customFormat="1" ht="14" x14ac:dyDescent="0.3">
      <c r="A34" s="67" t="s">
        <v>16</v>
      </c>
      <c r="C34" s="35">
        <f t="shared" ref="C34:L34" si="24">(C24/365)*C9</f>
        <v>729.8630136986302</v>
      </c>
      <c r="D34" s="35">
        <f t="shared" si="24"/>
        <v>1112.635616438356</v>
      </c>
      <c r="E34" s="35">
        <f t="shared" si="24"/>
        <v>1363.8382465753425</v>
      </c>
      <c r="F34" s="35">
        <f t="shared" si="24"/>
        <v>1472.9446575342467</v>
      </c>
      <c r="G34" s="35">
        <f t="shared" si="24"/>
        <v>1590.7769863013698</v>
      </c>
      <c r="H34" s="35">
        <f t="shared" si="24"/>
        <v>1718.0423890410957</v>
      </c>
      <c r="I34" s="35">
        <f t="shared" si="24"/>
        <v>1855.4853260273972</v>
      </c>
      <c r="J34" s="35">
        <f t="shared" si="24"/>
        <v>2003.9118904109589</v>
      </c>
      <c r="K34" s="35">
        <f t="shared" si="24"/>
        <v>2164.2384657534244</v>
      </c>
      <c r="L34" s="35">
        <f t="shared" si="24"/>
        <v>2337.3781917808215</v>
      </c>
    </row>
    <row r="35" spans="1:12" s="33" customFormat="1" ht="14" x14ac:dyDescent="0.3">
      <c r="A35" s="67" t="s">
        <v>17</v>
      </c>
      <c r="C35" s="35">
        <f>C14/C25</f>
        <v>358.72727272727275</v>
      </c>
      <c r="D35" s="35">
        <f t="shared" ref="D35:L35" si="25">D14/D25</f>
        <v>497.71084337349447</v>
      </c>
      <c r="E35" s="35">
        <f t="shared" si="25"/>
        <v>396.00787401574809</v>
      </c>
      <c r="F35" s="35">
        <f t="shared" si="25"/>
        <v>426.7244094488189</v>
      </c>
      <c r="G35" s="35">
        <f t="shared" si="25"/>
        <v>460.85826771653541</v>
      </c>
      <c r="H35" s="35">
        <f t="shared" si="25"/>
        <v>497.72440944881896</v>
      </c>
      <c r="I35" s="35">
        <f t="shared" si="25"/>
        <v>537.54330708661416</v>
      </c>
      <c r="J35" s="35">
        <f t="shared" si="25"/>
        <v>580.55905511811034</v>
      </c>
      <c r="K35" s="35">
        <f t="shared" si="25"/>
        <v>626.99212598425197</v>
      </c>
      <c r="L35" s="35">
        <f t="shared" si="25"/>
        <v>677.15748031496059</v>
      </c>
    </row>
    <row r="36" spans="1:12" s="33" customFormat="1" ht="14" x14ac:dyDescent="0.3">
      <c r="A36" s="67" t="s">
        <v>18</v>
      </c>
      <c r="B36" s="36"/>
      <c r="C36" s="37">
        <f t="shared" ref="C36:L36" si="26">(C26/365)*(C16-C13)</f>
        <v>317.70410958904114</v>
      </c>
      <c r="D36" s="37">
        <f t="shared" si="26"/>
        <v>483.71621917808255</v>
      </c>
      <c r="E36" s="37">
        <f t="shared" si="26"/>
        <v>592.76246575342464</v>
      </c>
      <c r="F36" s="37">
        <f t="shared" si="26"/>
        <v>640.17123287671234</v>
      </c>
      <c r="G36" s="37">
        <f t="shared" si="26"/>
        <v>691.38493150684928</v>
      </c>
      <c r="H36" s="37">
        <f t="shared" si="26"/>
        <v>746.69232876712329</v>
      </c>
      <c r="I36" s="37">
        <f t="shared" si="26"/>
        <v>806.43315068493132</v>
      </c>
      <c r="J36" s="37">
        <f t="shared" si="26"/>
        <v>870.95561643835629</v>
      </c>
      <c r="K36" s="37">
        <f t="shared" si="26"/>
        <v>940.62493150684929</v>
      </c>
      <c r="L36" s="37">
        <f t="shared" si="26"/>
        <v>1015.8827397260275</v>
      </c>
    </row>
    <row r="37" spans="1:12" s="33" customFormat="1" ht="14" x14ac:dyDescent="0.3">
      <c r="A37" s="67" t="s">
        <v>52</v>
      </c>
      <c r="B37" s="35">
        <v>800</v>
      </c>
      <c r="C37" s="35">
        <f t="shared" ref="C37:L37" si="27">C33+C34+C35-C36</f>
        <v>905.88617683686175</v>
      </c>
      <c r="D37" s="35">
        <f t="shared" si="27"/>
        <v>1332.4302406337679</v>
      </c>
      <c r="E37" s="35">
        <f t="shared" si="27"/>
        <v>1419.3476548376657</v>
      </c>
      <c r="F37" s="35">
        <f t="shared" si="27"/>
        <v>1531.9428341063533</v>
      </c>
      <c r="G37" s="35">
        <f t="shared" si="27"/>
        <v>1654.4903225110561</v>
      </c>
      <c r="H37" s="35">
        <f t="shared" si="27"/>
        <v>1786.8542697227913</v>
      </c>
      <c r="I37" s="35">
        <f t="shared" si="27"/>
        <v>1929.7975824290802</v>
      </c>
      <c r="J37" s="35">
        <f t="shared" si="27"/>
        <v>2084.1713290907132</v>
      </c>
      <c r="K37" s="35">
        <f t="shared" si="27"/>
        <v>2250.9166602308273</v>
      </c>
      <c r="L37" s="35">
        <f t="shared" si="27"/>
        <v>2430.9889323697544</v>
      </c>
    </row>
    <row r="38" spans="1:12" s="33" customFormat="1" ht="14" x14ac:dyDescent="0.3">
      <c r="A38" s="68" t="s">
        <v>60</v>
      </c>
      <c r="B38" s="38">
        <f>+B37</f>
        <v>800</v>
      </c>
      <c r="C38" s="38">
        <f>C37-B37</f>
        <v>105.88617683686175</v>
      </c>
      <c r="D38" s="38">
        <f t="shared" ref="D38:L38" si="28">D37-C37</f>
        <v>426.54406379690613</v>
      </c>
      <c r="E38" s="38">
        <f t="shared" si="28"/>
        <v>86.917414203897806</v>
      </c>
      <c r="F38" s="38">
        <f t="shared" si="28"/>
        <v>112.59517926868762</v>
      </c>
      <c r="G38" s="38">
        <f t="shared" si="28"/>
        <v>122.54748840470279</v>
      </c>
      <c r="H38" s="38">
        <f t="shared" si="28"/>
        <v>132.36394721173519</v>
      </c>
      <c r="I38" s="38">
        <f t="shared" si="28"/>
        <v>142.94331270628891</v>
      </c>
      <c r="J38" s="38">
        <f t="shared" si="28"/>
        <v>154.37374666163305</v>
      </c>
      <c r="K38" s="38">
        <f t="shared" si="28"/>
        <v>166.7453311401141</v>
      </c>
      <c r="L38" s="38">
        <f t="shared" si="28"/>
        <v>180.07227213892702</v>
      </c>
    </row>
    <row r="39" spans="1:12" s="33" customFormat="1" ht="14" x14ac:dyDescent="0.3">
      <c r="A39" s="67" t="s">
        <v>75</v>
      </c>
      <c r="C39" s="32">
        <f t="shared" ref="C39:L39" si="29">C37/C9</f>
        <v>0.20130803929708038</v>
      </c>
      <c r="D39" s="32">
        <f t="shared" si="29"/>
        <v>0.19423181350346472</v>
      </c>
      <c r="E39" s="32">
        <f t="shared" si="29"/>
        <v>0.16879312801323207</v>
      </c>
      <c r="F39" s="32">
        <f t="shared" si="29"/>
        <v>0.16868830414649047</v>
      </c>
      <c r="G39" s="32">
        <f t="shared" si="29"/>
        <v>0.1686878387552056</v>
      </c>
      <c r="H39" s="32">
        <f t="shared" si="29"/>
        <v>0.16868796598048003</v>
      </c>
      <c r="I39" s="32">
        <f t="shared" si="29"/>
        <v>0.16868756768350898</v>
      </c>
      <c r="J39" s="32">
        <f t="shared" si="29"/>
        <v>0.16868778563606526</v>
      </c>
      <c r="K39" s="32">
        <f t="shared" si="29"/>
        <v>0.16868759491226779</v>
      </c>
      <c r="L39" s="32">
        <f t="shared" si="29"/>
        <v>0.16868747448996302</v>
      </c>
    </row>
    <row r="40" spans="1:12" s="33" customFormat="1" ht="14" x14ac:dyDescent="0.3"/>
    <row r="41" spans="1:12" s="33" customFormat="1" ht="14" x14ac:dyDescent="0.3">
      <c r="A41" s="40" t="s">
        <v>23</v>
      </c>
    </row>
    <row r="42" spans="1:12" s="33" customFormat="1" ht="12" customHeight="1" x14ac:dyDescent="0.3"/>
    <row r="43" spans="1:12" s="33" customFormat="1" ht="14" x14ac:dyDescent="0.3">
      <c r="A43" s="41" t="s">
        <v>55</v>
      </c>
      <c r="B43" s="12">
        <v>2010</v>
      </c>
      <c r="C43" s="13">
        <f>B43+1</f>
        <v>2011</v>
      </c>
      <c r="D43" s="13">
        <f t="shared" ref="D43" si="30">C43+1</f>
        <v>2012</v>
      </c>
      <c r="E43" s="13">
        <f t="shared" ref="E43" si="31">D43+1</f>
        <v>2013</v>
      </c>
      <c r="F43" s="13">
        <f t="shared" ref="F43" si="32">E43+1</f>
        <v>2014</v>
      </c>
      <c r="G43" s="13">
        <f t="shared" ref="G43" si="33">F43+1</f>
        <v>2015</v>
      </c>
      <c r="H43" s="13">
        <f t="shared" ref="H43" si="34">G43+1</f>
        <v>2016</v>
      </c>
      <c r="I43" s="13">
        <f t="shared" ref="I43" si="35">H43+1</f>
        <v>2017</v>
      </c>
      <c r="J43" s="13">
        <f t="shared" ref="J43" si="36">I43+1</f>
        <v>2018</v>
      </c>
      <c r="K43" s="13">
        <f t="shared" ref="K43" si="37">J43+1</f>
        <v>2019</v>
      </c>
      <c r="L43" s="14">
        <f t="shared" ref="L43" si="38">K43+1</f>
        <v>2020</v>
      </c>
    </row>
    <row r="44" spans="1:12" s="33" customFormat="1" ht="14" x14ac:dyDescent="0.3">
      <c r="A44" s="66" t="s">
        <v>54</v>
      </c>
      <c r="B44" s="42">
        <f t="shared" ref="B44:L44" si="39">B18*(1-0.4)</f>
        <v>-750</v>
      </c>
      <c r="C44" s="42">
        <f t="shared" si="39"/>
        <v>349.67999999999984</v>
      </c>
      <c r="D44" s="42">
        <f t="shared" si="39"/>
        <v>596.39999999999668</v>
      </c>
      <c r="E44" s="42">
        <f t="shared" si="39"/>
        <v>766.37999999999954</v>
      </c>
      <c r="F44" s="42">
        <f t="shared" si="39"/>
        <v>835.08</v>
      </c>
      <c r="G44" s="42">
        <f t="shared" si="39"/>
        <v>901.8599999999991</v>
      </c>
      <c r="H44" s="42">
        <f t="shared" si="39"/>
        <v>974.07599999999832</v>
      </c>
      <c r="I44" s="42">
        <f t="shared" si="39"/>
        <v>1051.9619999999991</v>
      </c>
      <c r="J44" s="42">
        <f t="shared" si="39"/>
        <v>1135.9799999999984</v>
      </c>
      <c r="K44" s="42">
        <f t="shared" si="39"/>
        <v>1226.9999999999989</v>
      </c>
      <c r="L44" s="42">
        <f t="shared" si="39"/>
        <v>1325.0999999999979</v>
      </c>
    </row>
    <row r="45" spans="1:12" s="33" customFormat="1" ht="14" x14ac:dyDescent="0.3">
      <c r="A45" s="67" t="s">
        <v>19</v>
      </c>
      <c r="B45" s="42">
        <f t="shared" ref="B45:L45" si="40">B13</f>
        <v>0</v>
      </c>
      <c r="C45" s="42">
        <f t="shared" si="40"/>
        <v>152.19999999999999</v>
      </c>
      <c r="D45" s="42">
        <f t="shared" si="40"/>
        <v>152.19999999999999</v>
      </c>
      <c r="E45" s="42">
        <f t="shared" si="40"/>
        <v>152.19999999999999</v>
      </c>
      <c r="F45" s="42">
        <f t="shared" si="40"/>
        <v>152.19999999999999</v>
      </c>
      <c r="G45" s="42">
        <f t="shared" si="40"/>
        <v>164.4</v>
      </c>
      <c r="H45" s="42">
        <f t="shared" si="40"/>
        <v>177.5</v>
      </c>
      <c r="I45" s="42">
        <f t="shared" si="40"/>
        <v>191.7</v>
      </c>
      <c r="J45" s="42">
        <f t="shared" si="40"/>
        <v>207.1</v>
      </c>
      <c r="K45" s="42">
        <f t="shared" si="40"/>
        <v>223.6</v>
      </c>
      <c r="L45" s="42">
        <f t="shared" si="40"/>
        <v>241.5</v>
      </c>
    </row>
    <row r="46" spans="1:12" s="33" customFormat="1" ht="14" x14ac:dyDescent="0.3">
      <c r="A46" s="67" t="s">
        <v>61</v>
      </c>
      <c r="B46" s="42">
        <f t="shared" ref="B46:L46" si="41">-B38</f>
        <v>-800</v>
      </c>
      <c r="C46" s="42">
        <f t="shared" si="41"/>
        <v>-105.88617683686175</v>
      </c>
      <c r="D46" s="42">
        <f t="shared" si="41"/>
        <v>-426.54406379690613</v>
      </c>
      <c r="E46" s="42">
        <f t="shared" si="41"/>
        <v>-86.917414203897806</v>
      </c>
      <c r="F46" s="42">
        <f t="shared" si="41"/>
        <v>-112.59517926868762</v>
      </c>
      <c r="G46" s="42">
        <f t="shared" si="41"/>
        <v>-122.54748840470279</v>
      </c>
      <c r="H46" s="42">
        <f t="shared" si="41"/>
        <v>-132.36394721173519</v>
      </c>
      <c r="I46" s="42">
        <f t="shared" si="41"/>
        <v>-142.94331270628891</v>
      </c>
      <c r="J46" s="42">
        <f t="shared" si="41"/>
        <v>-154.37374666163305</v>
      </c>
      <c r="K46" s="42">
        <f t="shared" si="41"/>
        <v>-166.7453311401141</v>
      </c>
      <c r="L46" s="42">
        <f t="shared" si="41"/>
        <v>-180.07227213892702</v>
      </c>
    </row>
    <row r="47" spans="1:12" s="33" customFormat="1" ht="14" x14ac:dyDescent="0.3">
      <c r="A47" s="67" t="s">
        <v>20</v>
      </c>
      <c r="B47" s="43">
        <f t="shared" ref="B47:L47" si="42">-B28</f>
        <v>-1470</v>
      </c>
      <c r="C47" s="43">
        <f t="shared" si="42"/>
        <v>-952</v>
      </c>
      <c r="D47" s="43">
        <f t="shared" si="42"/>
        <v>-152</v>
      </c>
      <c r="E47" s="43">
        <f t="shared" si="42"/>
        <v>-152</v>
      </c>
      <c r="F47" s="43">
        <f t="shared" si="42"/>
        <v>-334</v>
      </c>
      <c r="G47" s="43">
        <f t="shared" si="42"/>
        <v>-361</v>
      </c>
      <c r="H47" s="43">
        <f t="shared" si="42"/>
        <v>-389</v>
      </c>
      <c r="I47" s="43">
        <f t="shared" si="42"/>
        <v>-421</v>
      </c>
      <c r="J47" s="43">
        <f t="shared" si="42"/>
        <v>-454</v>
      </c>
      <c r="K47" s="43">
        <f t="shared" si="42"/>
        <v>-491</v>
      </c>
      <c r="L47" s="43">
        <f t="shared" si="42"/>
        <v>-530</v>
      </c>
    </row>
    <row r="48" spans="1:12" s="33" customFormat="1" ht="14" x14ac:dyDescent="0.3">
      <c r="A48" s="67" t="s">
        <v>56</v>
      </c>
      <c r="B48" s="42">
        <f>SUM(B44:B47)</f>
        <v>-3020</v>
      </c>
      <c r="C48" s="42">
        <f t="shared" ref="C48:L48" si="43">SUM(C44:C47)</f>
        <v>-556.00617683686187</v>
      </c>
      <c r="D48" s="42">
        <f t="shared" si="43"/>
        <v>170.0559362030906</v>
      </c>
      <c r="E48" s="42">
        <f t="shared" si="43"/>
        <v>679.66258579610167</v>
      </c>
      <c r="F48" s="42">
        <f t="shared" si="43"/>
        <v>540.68482073131236</v>
      </c>
      <c r="G48" s="42">
        <f t="shared" si="43"/>
        <v>582.71251159529629</v>
      </c>
      <c r="H48" s="42">
        <f t="shared" si="43"/>
        <v>630.21205278826301</v>
      </c>
      <c r="I48" s="42">
        <f t="shared" si="43"/>
        <v>679.71868729371022</v>
      </c>
      <c r="J48" s="42">
        <f t="shared" si="43"/>
        <v>734.70625333836529</v>
      </c>
      <c r="K48" s="42">
        <f t="shared" si="43"/>
        <v>792.85466885988467</v>
      </c>
      <c r="L48" s="42">
        <f t="shared" si="43"/>
        <v>856.52772786107084</v>
      </c>
    </row>
    <row r="49" spans="1:15" s="33" customFormat="1" ht="14" x14ac:dyDescent="0.3">
      <c r="A49" s="67" t="s">
        <v>62</v>
      </c>
      <c r="B49" s="44">
        <v>0.03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5" s="33" customFormat="1" x14ac:dyDescent="0.35">
      <c r="A50" s="67" t="s">
        <v>27</v>
      </c>
      <c r="L50" s="45">
        <f>(L48*(1+$B$49))/($B$51-$B$49)</f>
        <v>16337.473327720423</v>
      </c>
      <c r="N50" s="46"/>
      <c r="O50" s="11"/>
    </row>
    <row r="51" spans="1:15" s="33" customFormat="1" x14ac:dyDescent="0.35">
      <c r="A51" s="67" t="s">
        <v>38</v>
      </c>
      <c r="B51" s="44">
        <v>8.4000000000000005E-2</v>
      </c>
      <c r="L51" s="45"/>
      <c r="N51" s="46"/>
      <c r="O51" s="11"/>
    </row>
    <row r="52" spans="1:15" s="33" customFormat="1" ht="14" x14ac:dyDescent="0.3">
      <c r="A52" s="67" t="s">
        <v>26</v>
      </c>
      <c r="B52" s="47">
        <f>1</f>
        <v>1</v>
      </c>
      <c r="C52" s="48">
        <f>B52*(1+$B$51)</f>
        <v>1.0840000000000001</v>
      </c>
      <c r="D52" s="48">
        <f t="shared" ref="D52:L52" si="44">C52*(1+$B$51)</f>
        <v>1.1750560000000001</v>
      </c>
      <c r="E52" s="48">
        <f t="shared" si="44"/>
        <v>1.2737607040000003</v>
      </c>
      <c r="F52" s="48">
        <f t="shared" si="44"/>
        <v>1.3807566031360003</v>
      </c>
      <c r="G52" s="48">
        <f t="shared" si="44"/>
        <v>1.4967401577994244</v>
      </c>
      <c r="H52" s="48">
        <f t="shared" si="44"/>
        <v>1.6224663310545762</v>
      </c>
      <c r="I52" s="48">
        <f t="shared" si="44"/>
        <v>1.7587535028631607</v>
      </c>
      <c r="J52" s="48">
        <f t="shared" si="44"/>
        <v>1.9064887971036664</v>
      </c>
      <c r="K52" s="48">
        <f t="shared" si="44"/>
        <v>2.0666338560603745</v>
      </c>
      <c r="L52" s="48">
        <f t="shared" si="44"/>
        <v>2.2402310999694461</v>
      </c>
    </row>
    <row r="53" spans="1:15" s="33" customFormat="1" ht="14" x14ac:dyDescent="0.3">
      <c r="A53" s="67" t="s">
        <v>21</v>
      </c>
      <c r="B53" s="45">
        <f>+B48/B52</f>
        <v>-3020</v>
      </c>
      <c r="C53" s="45">
        <f t="shared" ref="C53:L53" si="45">+C48/C52</f>
        <v>-512.92082734027849</v>
      </c>
      <c r="D53" s="45">
        <f t="shared" si="45"/>
        <v>144.72155897513869</v>
      </c>
      <c r="E53" s="45">
        <f t="shared" si="45"/>
        <v>533.58733996248441</v>
      </c>
      <c r="F53" s="45">
        <f t="shared" si="45"/>
        <v>391.58590261549273</v>
      </c>
      <c r="G53" s="45">
        <f t="shared" si="45"/>
        <v>389.32109127881409</v>
      </c>
      <c r="H53" s="45">
        <f t="shared" si="45"/>
        <v>388.42843190381376</v>
      </c>
      <c r="I53" s="45">
        <f t="shared" si="45"/>
        <v>386.47751727980244</v>
      </c>
      <c r="J53" s="45">
        <f t="shared" si="45"/>
        <v>385.37139817161761</v>
      </c>
      <c r="K53" s="45">
        <f t="shared" si="45"/>
        <v>383.64544669335089</v>
      </c>
      <c r="L53" s="45">
        <f t="shared" si="45"/>
        <v>382.33900416468316</v>
      </c>
    </row>
    <row r="54" spans="1:15" s="33" customFormat="1" ht="14" x14ac:dyDescent="0.3">
      <c r="A54" s="34" t="s">
        <v>70</v>
      </c>
      <c r="B54" s="49">
        <f>+NPV(B51,C48:L48)+B48</f>
        <v>-147.44313629508088</v>
      </c>
      <c r="C54" s="74"/>
    </row>
    <row r="55" spans="1:15" s="33" customFormat="1" ht="14" x14ac:dyDescent="0.3">
      <c r="A55" s="34" t="s">
        <v>57</v>
      </c>
      <c r="B55" s="76">
        <f>L50/L52</f>
        <v>7292.762486844882</v>
      </c>
    </row>
    <row r="56" spans="1:15" s="33" customFormat="1" ht="14" x14ac:dyDescent="0.3">
      <c r="A56" s="34" t="s">
        <v>22</v>
      </c>
      <c r="B56" s="50">
        <f>+B54+B55</f>
        <v>7145.3193505498011</v>
      </c>
    </row>
    <row r="57" spans="1:15" s="33" customFormat="1" ht="14" x14ac:dyDescent="0.3">
      <c r="A57" s="34"/>
    </row>
    <row r="58" spans="1:15" s="33" customFormat="1" ht="14" x14ac:dyDescent="0.3">
      <c r="A58" s="40" t="s">
        <v>28</v>
      </c>
    </row>
    <row r="59" spans="1:15" s="33" customFormat="1" ht="14" x14ac:dyDescent="0.3">
      <c r="B59" s="12">
        <v>2010</v>
      </c>
      <c r="C59" s="13">
        <f>B59+1</f>
        <v>2011</v>
      </c>
      <c r="D59" s="13">
        <f t="shared" ref="D59" si="46">C59+1</f>
        <v>2012</v>
      </c>
      <c r="E59" s="13">
        <f t="shared" ref="E59" si="47">D59+1</f>
        <v>2013</v>
      </c>
      <c r="F59" s="13">
        <f t="shared" ref="F59" si="48">E59+1</f>
        <v>2014</v>
      </c>
      <c r="G59" s="13">
        <f t="shared" ref="G59" si="49">F59+1</f>
        <v>2015</v>
      </c>
      <c r="H59" s="13">
        <f t="shared" ref="H59" si="50">G59+1</f>
        <v>2016</v>
      </c>
      <c r="I59" s="13">
        <f t="shared" ref="I59" si="51">H59+1</f>
        <v>2017</v>
      </c>
      <c r="J59" s="13">
        <f t="shared" ref="J59" si="52">I59+1</f>
        <v>2018</v>
      </c>
      <c r="K59" s="13">
        <f t="shared" ref="K59" si="53">J59+1</f>
        <v>2019</v>
      </c>
      <c r="L59" s="14">
        <f t="shared" ref="L59" si="54">K59+1</f>
        <v>2020</v>
      </c>
    </row>
    <row r="60" spans="1:15" s="33" customFormat="1" ht="14" x14ac:dyDescent="0.3">
      <c r="A60" s="33" t="s">
        <v>29</v>
      </c>
      <c r="B60" s="42">
        <f t="shared" ref="B60:K60" si="55">+B48</f>
        <v>-3020</v>
      </c>
      <c r="C60" s="42">
        <f t="shared" si="55"/>
        <v>-556.00617683686187</v>
      </c>
      <c r="D60" s="42">
        <f t="shared" si="55"/>
        <v>170.0559362030906</v>
      </c>
      <c r="E60" s="42">
        <f t="shared" si="55"/>
        <v>679.66258579610167</v>
      </c>
      <c r="F60" s="42">
        <f t="shared" si="55"/>
        <v>540.68482073131236</v>
      </c>
      <c r="G60" s="42">
        <f t="shared" si="55"/>
        <v>582.71251159529629</v>
      </c>
      <c r="H60" s="42">
        <f t="shared" si="55"/>
        <v>630.21205278826301</v>
      </c>
      <c r="I60" s="42">
        <f t="shared" si="55"/>
        <v>679.71868729371022</v>
      </c>
      <c r="J60" s="42">
        <f t="shared" si="55"/>
        <v>734.70625333836529</v>
      </c>
      <c r="K60" s="42">
        <f t="shared" si="55"/>
        <v>792.85466885988467</v>
      </c>
      <c r="L60" s="42">
        <f>+L48+L50</f>
        <v>17194.001055581495</v>
      </c>
    </row>
    <row r="61" spans="1:15" s="33" customFormat="1" ht="14" x14ac:dyDescent="0.3">
      <c r="A61" s="33" t="s">
        <v>30</v>
      </c>
      <c r="B61" s="51">
        <f>IRR(B60:L60)</f>
        <v>0.23984974175073615</v>
      </c>
    </row>
    <row r="62" spans="1:15" s="33" customFormat="1" ht="14" x14ac:dyDescent="0.3"/>
    <row r="63" spans="1:15" s="33" customFormat="1" ht="14" x14ac:dyDescent="0.3">
      <c r="A63" s="40" t="s">
        <v>31</v>
      </c>
    </row>
    <row r="64" spans="1:15" s="33" customFormat="1" ht="14" x14ac:dyDescent="0.3">
      <c r="B64" s="12">
        <v>2010</v>
      </c>
      <c r="C64" s="13">
        <f>B64+1</f>
        <v>2011</v>
      </c>
      <c r="D64" s="13">
        <f t="shared" ref="D64" si="56">C64+1</f>
        <v>2012</v>
      </c>
      <c r="E64" s="13">
        <f t="shared" ref="E64" si="57">D64+1</f>
        <v>2013</v>
      </c>
      <c r="F64" s="13">
        <f t="shared" ref="F64" si="58">E64+1</f>
        <v>2014</v>
      </c>
      <c r="G64" s="13">
        <f t="shared" ref="G64" si="59">F64+1</f>
        <v>2015</v>
      </c>
      <c r="H64" s="13">
        <f t="shared" ref="H64" si="60">G64+1</f>
        <v>2016</v>
      </c>
      <c r="I64" s="13">
        <f t="shared" ref="I64" si="61">H64+1</f>
        <v>2017</v>
      </c>
      <c r="J64" s="13">
        <f t="shared" ref="J64" si="62">I64+1</f>
        <v>2018</v>
      </c>
      <c r="K64" s="13">
        <f t="shared" ref="K64" si="63">J64+1</f>
        <v>2019</v>
      </c>
      <c r="L64" s="14">
        <f t="shared" ref="L64" si="64">K64+1</f>
        <v>2020</v>
      </c>
    </row>
    <row r="65" spans="1:12" s="33" customFormat="1" ht="14" x14ac:dyDescent="0.3">
      <c r="A65" s="33" t="s">
        <v>32</v>
      </c>
      <c r="B65" s="42">
        <f>B60</f>
        <v>-3020</v>
      </c>
      <c r="C65" s="42">
        <f t="shared" ref="C65:L65" si="65">C60</f>
        <v>-556.00617683686187</v>
      </c>
      <c r="D65" s="42">
        <f t="shared" si="65"/>
        <v>170.0559362030906</v>
      </c>
      <c r="E65" s="42">
        <f t="shared" si="65"/>
        <v>679.66258579610167</v>
      </c>
      <c r="F65" s="42">
        <f t="shared" si="65"/>
        <v>540.68482073131236</v>
      </c>
      <c r="G65" s="42">
        <f t="shared" si="65"/>
        <v>582.71251159529629</v>
      </c>
      <c r="H65" s="42">
        <f t="shared" si="65"/>
        <v>630.21205278826301</v>
      </c>
      <c r="I65" s="42">
        <f t="shared" si="65"/>
        <v>679.71868729371022</v>
      </c>
      <c r="J65" s="42">
        <f t="shared" si="65"/>
        <v>734.70625333836529</v>
      </c>
      <c r="K65" s="42">
        <f t="shared" si="65"/>
        <v>792.85466885988467</v>
      </c>
      <c r="L65" s="42">
        <f t="shared" si="65"/>
        <v>17194.001055581495</v>
      </c>
    </row>
    <row r="66" spans="1:12" s="33" customFormat="1" ht="14" x14ac:dyDescent="0.3">
      <c r="A66" s="33" t="s">
        <v>33</v>
      </c>
      <c r="B66" s="42">
        <f>B65</f>
        <v>-3020</v>
      </c>
      <c r="C66" s="42">
        <f>B66+C65</f>
        <v>-3576.0061768368619</v>
      </c>
      <c r="D66" s="42">
        <f t="shared" ref="D66:G66" si="66">C66+D65</f>
        <v>-3405.9502406337715</v>
      </c>
      <c r="E66" s="42">
        <f t="shared" si="66"/>
        <v>-2726.2876548376698</v>
      </c>
      <c r="F66" s="42">
        <f t="shared" si="66"/>
        <v>-2185.6028341063575</v>
      </c>
      <c r="G66" s="42">
        <f t="shared" si="66"/>
        <v>-1602.8903225110612</v>
      </c>
      <c r="H66" s="42">
        <f>G66+H65</f>
        <v>-972.67826972279818</v>
      </c>
      <c r="I66" s="42">
        <f t="shared" ref="I66" si="67">H66+I65</f>
        <v>-292.95958242908796</v>
      </c>
      <c r="J66" s="42">
        <f t="shared" ref="J66" si="68">I66+J65</f>
        <v>441.74667090927733</v>
      </c>
      <c r="K66" s="42"/>
      <c r="L66" s="42"/>
    </row>
    <row r="67" spans="1:12" s="33" customFormat="1" ht="14" x14ac:dyDescent="0.3">
      <c r="A67" s="34" t="s">
        <v>68</v>
      </c>
      <c r="B67" s="58" t="str">
        <f>IF(B66&lt;0,"",IF(#REF!&gt;0,"",+B64-1-$B$64-#REF!/(B66-#REF!)))</f>
        <v/>
      </c>
      <c r="C67" s="58" t="str">
        <f t="shared" ref="C67:K67" si="69">IF(C66&lt;0,"",IF(B66&gt;0,"",+C64-1-$B$64-B66/(C66-B66)))</f>
        <v/>
      </c>
      <c r="D67" s="58" t="str">
        <f t="shared" si="69"/>
        <v/>
      </c>
      <c r="E67" s="58" t="str">
        <f t="shared" si="69"/>
        <v/>
      </c>
      <c r="F67" s="58" t="str">
        <f t="shared" si="69"/>
        <v/>
      </c>
      <c r="G67" s="58" t="str">
        <f t="shared" si="69"/>
        <v/>
      </c>
      <c r="H67" s="58" t="str">
        <f t="shared" si="69"/>
        <v/>
      </c>
      <c r="I67" s="58" t="str">
        <f t="shared" si="69"/>
        <v/>
      </c>
      <c r="J67" s="58">
        <f t="shared" si="69"/>
        <v>7.3987438259820646</v>
      </c>
      <c r="K67" s="58" t="str">
        <f t="shared" si="69"/>
        <v/>
      </c>
      <c r="L67" s="58"/>
    </row>
    <row r="68" spans="1:12" s="33" customFormat="1" ht="14" x14ac:dyDescent="0.3">
      <c r="A68" s="34" t="s">
        <v>50</v>
      </c>
      <c r="B68" s="57">
        <f>SUM(C13:G13)+SUM(C18:G18)</f>
        <v>6522.1999999999925</v>
      </c>
      <c r="C68" s="34"/>
      <c r="D68" s="34"/>
      <c r="E68" s="34"/>
      <c r="F68" s="49"/>
      <c r="G68" s="34"/>
      <c r="H68" s="34"/>
      <c r="I68" s="34"/>
      <c r="J68" s="58"/>
      <c r="K68" s="34"/>
      <c r="L68" s="34"/>
    </row>
    <row r="69" spans="1:12" s="33" customFormat="1" ht="14" x14ac:dyDescent="0.3"/>
    <row r="70" spans="1:12" s="33" customFormat="1" ht="14" x14ac:dyDescent="0.3">
      <c r="A70" s="40" t="s">
        <v>36</v>
      </c>
    </row>
    <row r="71" spans="1:12" s="33" customFormat="1" ht="14" x14ac:dyDescent="0.3">
      <c r="A71" s="34" t="s">
        <v>37</v>
      </c>
      <c r="B71" s="58">
        <f>1+B56/-B48</f>
        <v>3.3659997849502652</v>
      </c>
    </row>
    <row r="72" spans="1:12" s="33" customFormat="1" ht="14" x14ac:dyDescent="0.3"/>
    <row r="73" spans="1:12" s="33" customFormat="1" ht="14.5" customHeight="1" x14ac:dyDescent="0.3">
      <c r="C73" s="59" t="s">
        <v>39</v>
      </c>
      <c r="D73" s="56"/>
      <c r="E73" s="56"/>
      <c r="F73" s="56"/>
    </row>
    <row r="74" spans="1:12" s="33" customFormat="1" ht="14" x14ac:dyDescent="0.3">
      <c r="A74" s="60" t="s">
        <v>69</v>
      </c>
      <c r="B74" s="61">
        <f>+B56</f>
        <v>7145.3193505498011</v>
      </c>
      <c r="C74" s="62">
        <v>0</v>
      </c>
      <c r="D74" s="62">
        <v>0.01</v>
      </c>
      <c r="E74" s="62">
        <v>0.02</v>
      </c>
      <c r="F74" s="62">
        <v>0.03</v>
      </c>
    </row>
    <row r="75" spans="1:12" s="33" customFormat="1" ht="17" customHeight="1" x14ac:dyDescent="0.3">
      <c r="A75" s="84" t="s">
        <v>38</v>
      </c>
      <c r="B75" s="64">
        <v>7.6999999999999999E-2</v>
      </c>
      <c r="C75" s="52">
        <f t="dataTable" ref="C75:F77" dt2D="1" dtr="1" r1="B49" r2="B51" ca="1"/>
        <v>5284.9066534703634</v>
      </c>
      <c r="D75" s="52">
        <v>6136.5045285908818</v>
      </c>
      <c r="E75" s="52">
        <v>7286.9086756835131</v>
      </c>
      <c r="F75" s="52">
        <v>8926.846502390028</v>
      </c>
    </row>
    <row r="76" spans="1:12" s="33" customFormat="1" ht="17" customHeight="1" x14ac:dyDescent="0.3">
      <c r="A76" s="84"/>
      <c r="B76" s="64">
        <v>8.4000000000000005E-2</v>
      </c>
      <c r="C76" s="52">
        <v>4404.2116751892418</v>
      </c>
      <c r="D76" s="52">
        <v>5070.9675962228912</v>
      </c>
      <c r="E76" s="52">
        <v>5946.0847425795573</v>
      </c>
      <c r="F76" s="53">
        <v>7145.3193505498011</v>
      </c>
    </row>
    <row r="77" spans="1:12" s="33" customFormat="1" ht="17" customHeight="1" x14ac:dyDescent="0.3">
      <c r="A77" s="84"/>
      <c r="B77" s="64">
        <v>0.09</v>
      </c>
      <c r="C77" s="52">
        <v>3762.8778160571169</v>
      </c>
      <c r="D77" s="52">
        <v>4310.6127602699162</v>
      </c>
      <c r="E77" s="52">
        <v>5014.8434028292304</v>
      </c>
      <c r="F77" s="52">
        <v>5953.8175929083136</v>
      </c>
    </row>
    <row r="78" spans="1:12" s="33" customFormat="1" ht="14" x14ac:dyDescent="0.3"/>
    <row r="79" spans="1:12" s="33" customFormat="1" ht="14" x14ac:dyDescent="0.3">
      <c r="A79" s="34" t="s">
        <v>82</v>
      </c>
    </row>
    <row r="80" spans="1:12" s="33" customFormat="1" ht="14" x14ac:dyDescent="0.3">
      <c r="B80" s="12">
        <v>2010</v>
      </c>
      <c r="C80" s="13">
        <f>B80+1</f>
        <v>2011</v>
      </c>
      <c r="D80" s="13">
        <f t="shared" ref="D80" si="70">C80+1</f>
        <v>2012</v>
      </c>
      <c r="E80" s="13">
        <f t="shared" ref="E80" si="71">D80+1</f>
        <v>2013</v>
      </c>
      <c r="F80" s="13">
        <f t="shared" ref="F80" si="72">E80+1</f>
        <v>2014</v>
      </c>
      <c r="G80" s="13">
        <f t="shared" ref="G80" si="73">F80+1</f>
        <v>2015</v>
      </c>
      <c r="H80" s="13">
        <f t="shared" ref="H80" si="74">G80+1</f>
        <v>2016</v>
      </c>
      <c r="I80" s="13">
        <f t="shared" ref="I80" si="75">H80+1</f>
        <v>2017</v>
      </c>
      <c r="J80" s="13">
        <f t="shared" ref="J80" si="76">I80+1</f>
        <v>2018</v>
      </c>
      <c r="K80" s="13">
        <f t="shared" ref="K80" si="77">J80+1</f>
        <v>2019</v>
      </c>
      <c r="L80" s="14">
        <f t="shared" ref="L80" si="78">K80+1</f>
        <v>2020</v>
      </c>
    </row>
    <row r="81" spans="1:12" s="33" customFormat="1" ht="14" x14ac:dyDescent="0.3">
      <c r="A81" s="33" t="s">
        <v>76</v>
      </c>
      <c r="B81" s="11">
        <f>+B28</f>
        <v>1470</v>
      </c>
      <c r="C81" s="11">
        <f>+B81+C28</f>
        <v>2422</v>
      </c>
      <c r="D81" s="11">
        <f t="shared" ref="D81:L81" si="79">+C81+D28</f>
        <v>2574</v>
      </c>
      <c r="E81" s="11">
        <f t="shared" si="79"/>
        <v>2726</v>
      </c>
      <c r="F81" s="11">
        <f t="shared" si="79"/>
        <v>3060</v>
      </c>
      <c r="G81" s="11">
        <f t="shared" si="79"/>
        <v>3421</v>
      </c>
      <c r="H81" s="11">
        <f t="shared" si="79"/>
        <v>3810</v>
      </c>
      <c r="I81" s="11">
        <f t="shared" si="79"/>
        <v>4231</v>
      </c>
      <c r="J81" s="11">
        <f t="shared" si="79"/>
        <v>4685</v>
      </c>
      <c r="K81" s="11">
        <f t="shared" si="79"/>
        <v>5176</v>
      </c>
      <c r="L81" s="11">
        <f t="shared" si="79"/>
        <v>5706</v>
      </c>
    </row>
    <row r="82" spans="1:12" s="33" customFormat="1" ht="14" x14ac:dyDescent="0.3">
      <c r="A82" s="33" t="s">
        <v>77</v>
      </c>
      <c r="B82" s="11">
        <f>+B13</f>
        <v>0</v>
      </c>
      <c r="C82" s="11">
        <f>+B82+C13</f>
        <v>152.19999999999999</v>
      </c>
      <c r="D82" s="11">
        <f t="shared" ref="D82:L82" si="80">+C82+D13</f>
        <v>304.39999999999998</v>
      </c>
      <c r="E82" s="11">
        <f t="shared" si="80"/>
        <v>456.59999999999997</v>
      </c>
      <c r="F82" s="11">
        <f t="shared" si="80"/>
        <v>608.79999999999995</v>
      </c>
      <c r="G82" s="11">
        <f t="shared" si="80"/>
        <v>773.19999999999993</v>
      </c>
      <c r="H82" s="11">
        <f t="shared" si="80"/>
        <v>950.69999999999993</v>
      </c>
      <c r="I82" s="11">
        <f t="shared" si="80"/>
        <v>1142.3999999999999</v>
      </c>
      <c r="J82" s="11">
        <f t="shared" si="80"/>
        <v>1349.4999999999998</v>
      </c>
      <c r="K82" s="11">
        <f t="shared" si="80"/>
        <v>1573.0999999999997</v>
      </c>
      <c r="L82" s="11">
        <f t="shared" si="80"/>
        <v>1814.5999999999997</v>
      </c>
    </row>
    <row r="83" spans="1:12" s="33" customFormat="1" ht="14" x14ac:dyDescent="0.3">
      <c r="A83" s="33" t="s">
        <v>78</v>
      </c>
      <c r="B83" s="11">
        <f>+B81-B82</f>
        <v>1470</v>
      </c>
      <c r="C83" s="11">
        <f t="shared" ref="C83:L83" si="81">+C81-C82</f>
        <v>2269.8000000000002</v>
      </c>
      <c r="D83" s="11">
        <f t="shared" si="81"/>
        <v>2269.6</v>
      </c>
      <c r="E83" s="11">
        <f t="shared" si="81"/>
        <v>2269.4</v>
      </c>
      <c r="F83" s="11">
        <f t="shared" si="81"/>
        <v>2451.1999999999998</v>
      </c>
      <c r="G83" s="11">
        <f t="shared" si="81"/>
        <v>2647.8</v>
      </c>
      <c r="H83" s="11">
        <f t="shared" si="81"/>
        <v>2859.3</v>
      </c>
      <c r="I83" s="11">
        <f t="shared" si="81"/>
        <v>3088.6000000000004</v>
      </c>
      <c r="J83" s="11">
        <f t="shared" si="81"/>
        <v>3335.5</v>
      </c>
      <c r="K83" s="11">
        <f t="shared" si="81"/>
        <v>3602.9000000000005</v>
      </c>
      <c r="L83" s="11">
        <f t="shared" si="81"/>
        <v>3891.4000000000005</v>
      </c>
    </row>
    <row r="84" spans="1:12" s="33" customFormat="1" ht="14" x14ac:dyDescent="0.3">
      <c r="A84" s="33" t="s">
        <v>79</v>
      </c>
      <c r="B84" s="11">
        <f>+B37</f>
        <v>800</v>
      </c>
      <c r="C84" s="11">
        <f t="shared" ref="C84:L84" si="82">+C37</f>
        <v>905.88617683686175</v>
      </c>
      <c r="D84" s="11">
        <f t="shared" si="82"/>
        <v>1332.4302406337679</v>
      </c>
      <c r="E84" s="11">
        <f t="shared" si="82"/>
        <v>1419.3476548376657</v>
      </c>
      <c r="F84" s="11">
        <f t="shared" si="82"/>
        <v>1531.9428341063533</v>
      </c>
      <c r="G84" s="11">
        <f t="shared" si="82"/>
        <v>1654.4903225110561</v>
      </c>
      <c r="H84" s="11">
        <f t="shared" si="82"/>
        <v>1786.8542697227913</v>
      </c>
      <c r="I84" s="11">
        <f t="shared" si="82"/>
        <v>1929.7975824290802</v>
      </c>
      <c r="J84" s="11">
        <f t="shared" si="82"/>
        <v>2084.1713290907132</v>
      </c>
      <c r="K84" s="11">
        <f t="shared" si="82"/>
        <v>2250.9166602308273</v>
      </c>
      <c r="L84" s="11">
        <f t="shared" si="82"/>
        <v>2430.9889323697544</v>
      </c>
    </row>
    <row r="85" spans="1:12" s="33" customFormat="1" ht="14" x14ac:dyDescent="0.3">
      <c r="A85" s="33" t="s">
        <v>80</v>
      </c>
      <c r="B85" s="11">
        <f>+B83+B84</f>
        <v>2270</v>
      </c>
      <c r="C85" s="11">
        <f t="shared" ref="C85:L85" si="83">+C83+C84</f>
        <v>3175.6861768368617</v>
      </c>
      <c r="D85" s="11">
        <f t="shared" si="83"/>
        <v>3602.0302406337678</v>
      </c>
      <c r="E85" s="11">
        <f t="shared" si="83"/>
        <v>3688.7476548376658</v>
      </c>
      <c r="F85" s="11">
        <f t="shared" si="83"/>
        <v>3983.1428341063529</v>
      </c>
      <c r="G85" s="11">
        <f t="shared" si="83"/>
        <v>4302.2903225110567</v>
      </c>
      <c r="H85" s="11">
        <f t="shared" si="83"/>
        <v>4646.1542697227915</v>
      </c>
      <c r="I85" s="11">
        <f t="shared" si="83"/>
        <v>5018.397582429081</v>
      </c>
      <c r="J85" s="11">
        <f t="shared" si="83"/>
        <v>5419.6713290907137</v>
      </c>
      <c r="K85" s="11">
        <f t="shared" si="83"/>
        <v>5853.8166602308283</v>
      </c>
      <c r="L85" s="11">
        <f t="shared" si="83"/>
        <v>6322.3889323697549</v>
      </c>
    </row>
    <row r="86" spans="1:12" s="33" customFormat="1" ht="14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s="33" customFormat="1" ht="14" x14ac:dyDescent="0.3">
      <c r="A87" s="33" t="s">
        <v>81</v>
      </c>
      <c r="B87" s="77">
        <f>+L85/L52</f>
        <v>2822.2038933643871</v>
      </c>
    </row>
    <row r="88" spans="1:12" s="33" customFormat="1" ht="14" x14ac:dyDescent="0.3">
      <c r="A88" s="34" t="s">
        <v>70</v>
      </c>
      <c r="B88" s="77">
        <f>+B54</f>
        <v>-147.44313629508088</v>
      </c>
    </row>
    <row r="89" spans="1:12" s="33" customFormat="1" ht="14" x14ac:dyDescent="0.3">
      <c r="A89" s="33" t="s">
        <v>69</v>
      </c>
      <c r="B89" s="77">
        <f>+B87+B88</f>
        <v>2674.7607570693062</v>
      </c>
      <c r="L89" s="11"/>
    </row>
    <row r="90" spans="1:12" s="33" customFormat="1" ht="14" x14ac:dyDescent="0.3"/>
    <row r="91" spans="1:12" s="33" customFormat="1" ht="14" x14ac:dyDescent="0.3"/>
    <row r="92" spans="1:12" s="33" customFormat="1" ht="14" x14ac:dyDescent="0.3">
      <c r="C92" s="1"/>
      <c r="D92" s="7" t="s">
        <v>45</v>
      </c>
    </row>
    <row r="93" spans="1:12" s="33" customFormat="1" ht="14" x14ac:dyDescent="0.3">
      <c r="C93" s="1"/>
      <c r="D93" s="7" t="s">
        <v>43</v>
      </c>
    </row>
    <row r="94" spans="1:12" s="33" customFormat="1" ht="14" x14ac:dyDescent="0.3">
      <c r="C94" s="1"/>
      <c r="D94" s="7" t="s">
        <v>44</v>
      </c>
    </row>
    <row r="95" spans="1:12" s="33" customFormat="1" ht="14" x14ac:dyDescent="0.3">
      <c r="C95" s="5"/>
      <c r="D95" s="9">
        <f>+B89</f>
        <v>2674.7607570693062</v>
      </c>
    </row>
    <row r="96" spans="1:12" s="33" customFormat="1" ht="14" x14ac:dyDescent="0.3">
      <c r="C96" s="4">
        <v>7.6999999999999999E-2</v>
      </c>
      <c r="D96" s="6">
        <f t="dataTable" ref="D96:D98" dt2D="0" dtr="0" r1="B51"/>
        <v>2998.2227591834298</v>
      </c>
      <c r="E96" s="6"/>
    </row>
    <row r="97" spans="3:5" s="33" customFormat="1" ht="14" x14ac:dyDescent="0.3">
      <c r="C97" s="4">
        <v>8.4000000000000005E-2</v>
      </c>
      <c r="D97" s="6">
        <v>2674.7607570693062</v>
      </c>
      <c r="E97" s="6"/>
    </row>
    <row r="98" spans="3:5" s="33" customFormat="1" ht="14" x14ac:dyDescent="0.3">
      <c r="C98" s="4">
        <v>0.09</v>
      </c>
      <c r="D98" s="6">
        <v>2413.4502414397316</v>
      </c>
      <c r="E98" s="6"/>
    </row>
    <row r="99" spans="3:5" s="33" customFormat="1" ht="14" x14ac:dyDescent="0.3"/>
    <row r="100" spans="3:5" s="33" customFormat="1" ht="14" x14ac:dyDescent="0.3"/>
    <row r="101" spans="3:5" s="33" customFormat="1" ht="14" x14ac:dyDescent="0.3"/>
    <row r="102" spans="3:5" s="33" customFormat="1" ht="14" x14ac:dyDescent="0.3"/>
    <row r="103" spans="3:5" s="33" customFormat="1" ht="14" x14ac:dyDescent="0.3"/>
    <row r="104" spans="3:5" s="33" customFormat="1" ht="14" x14ac:dyDescent="0.3"/>
    <row r="105" spans="3:5" s="33" customFormat="1" ht="14" x14ac:dyDescent="0.3"/>
    <row r="106" spans="3:5" s="33" customFormat="1" ht="14" x14ac:dyDescent="0.3"/>
    <row r="107" spans="3:5" s="33" customFormat="1" ht="14" x14ac:dyDescent="0.3"/>
    <row r="108" spans="3:5" s="33" customFormat="1" ht="14" x14ac:dyDescent="0.3"/>
    <row r="109" spans="3:5" s="33" customFormat="1" ht="14" x14ac:dyDescent="0.3"/>
    <row r="110" spans="3:5" s="33" customFormat="1" ht="14" x14ac:dyDescent="0.3"/>
    <row r="111" spans="3:5" s="33" customFormat="1" ht="14" x14ac:dyDescent="0.3"/>
    <row r="112" spans="3:5" s="33" customFormat="1" ht="14" x14ac:dyDescent="0.3"/>
    <row r="113" s="33" customFormat="1" ht="14" x14ac:dyDescent="0.3"/>
    <row r="114" s="33" customFormat="1" ht="14" x14ac:dyDescent="0.3"/>
    <row r="115" s="33" customFormat="1" ht="14" x14ac:dyDescent="0.3"/>
    <row r="116" s="33" customFormat="1" ht="14" x14ac:dyDescent="0.3"/>
    <row r="117" s="33" customFormat="1" ht="14" x14ac:dyDescent="0.3"/>
    <row r="118" s="33" customFormat="1" ht="14" x14ac:dyDescent="0.3"/>
    <row r="119" s="33" customFormat="1" ht="14" x14ac:dyDescent="0.3"/>
    <row r="120" s="1" customFormat="1" ht="11.5" x14ac:dyDescent="0.25"/>
    <row r="121" s="1" customFormat="1" ht="11.5" x14ac:dyDescent="0.25"/>
    <row r="122" s="1" customFormat="1" ht="11.5" x14ac:dyDescent="0.25"/>
    <row r="123" s="1" customFormat="1" ht="11.5" x14ac:dyDescent="0.25"/>
    <row r="124" s="1" customFormat="1" ht="11.5" x14ac:dyDescent="0.25"/>
    <row r="125" s="1" customFormat="1" ht="11.5" x14ac:dyDescent="0.25"/>
    <row r="126" s="1" customFormat="1" ht="11.5" x14ac:dyDescent="0.25"/>
    <row r="127" s="1" customFormat="1" ht="11.5" x14ac:dyDescent="0.25"/>
    <row r="128" s="1" customFormat="1" ht="11.5" x14ac:dyDescent="0.25"/>
    <row r="129" s="1" customFormat="1" ht="11.5" x14ac:dyDescent="0.25"/>
    <row r="130" s="1" customFormat="1" ht="11.5" x14ac:dyDescent="0.25"/>
    <row r="131" s="1" customFormat="1" ht="11.5" x14ac:dyDescent="0.25"/>
    <row r="132" s="1" customFormat="1" ht="11.5" x14ac:dyDescent="0.25"/>
    <row r="133" s="1" customFormat="1" ht="11.5" x14ac:dyDescent="0.25"/>
    <row r="134" s="1" customFormat="1" ht="11.5" x14ac:dyDescent="0.25"/>
    <row r="135" s="1" customFormat="1" ht="11.5" x14ac:dyDescent="0.25"/>
    <row r="136" s="1" customFormat="1" ht="11.5" x14ac:dyDescent="0.25"/>
    <row r="137" s="1" customFormat="1" ht="11.5" x14ac:dyDescent="0.25"/>
    <row r="138" s="1" customFormat="1" ht="11.5" x14ac:dyDescent="0.25"/>
    <row r="139" s="1" customFormat="1" ht="11.5" x14ac:dyDescent="0.25"/>
    <row r="140" s="1" customFormat="1" ht="11.5" x14ac:dyDescent="0.25"/>
    <row r="141" s="1" customFormat="1" ht="11.5" x14ac:dyDescent="0.25"/>
    <row r="142" s="1" customFormat="1" ht="11.5" x14ac:dyDescent="0.25"/>
    <row r="143" s="1" customFormat="1" ht="11.5" x14ac:dyDescent="0.25"/>
    <row r="144" s="1" customFormat="1" ht="11.5" x14ac:dyDescent="0.25"/>
    <row r="145" s="1" customFormat="1" ht="11.5" x14ac:dyDescent="0.25"/>
    <row r="146" s="1" customFormat="1" ht="11.5" x14ac:dyDescent="0.25"/>
    <row r="147" s="1" customFormat="1" ht="11.5" x14ac:dyDescent="0.25"/>
    <row r="148" s="1" customFormat="1" ht="11.5" x14ac:dyDescent="0.25"/>
    <row r="149" s="1" customFormat="1" ht="11.5" x14ac:dyDescent="0.25"/>
    <row r="150" s="1" customFormat="1" ht="11.5" x14ac:dyDescent="0.25"/>
    <row r="151" s="1" customFormat="1" ht="11.5" x14ac:dyDescent="0.25"/>
    <row r="152" s="1" customFormat="1" ht="11.5" x14ac:dyDescent="0.25"/>
    <row r="153" s="1" customFormat="1" ht="11.5" x14ac:dyDescent="0.25"/>
    <row r="154" s="1" customFormat="1" ht="11.5" x14ac:dyDescent="0.25"/>
    <row r="155" s="1" customFormat="1" ht="11.5" x14ac:dyDescent="0.25"/>
    <row r="156" s="1" customFormat="1" ht="11.5" x14ac:dyDescent="0.25"/>
    <row r="157" s="1" customFormat="1" ht="11.5" x14ac:dyDescent="0.25"/>
    <row r="158" s="1" customFormat="1" ht="11.5" x14ac:dyDescent="0.25"/>
    <row r="159" s="1" customFormat="1" ht="11.5" x14ac:dyDescent="0.25"/>
    <row r="160" s="1" customFormat="1" ht="11.5" x14ac:dyDescent="0.25"/>
    <row r="161" s="1" customFormat="1" ht="11.5" x14ac:dyDescent="0.25"/>
    <row r="162" s="1" customFormat="1" ht="11.5" x14ac:dyDescent="0.25"/>
    <row r="163" s="1" customFormat="1" ht="11.5" x14ac:dyDescent="0.25"/>
    <row r="164" s="1" customFormat="1" ht="11.5" x14ac:dyDescent="0.25"/>
    <row r="165" s="1" customFormat="1" ht="11.5" x14ac:dyDescent="0.25"/>
    <row r="166" s="1" customFormat="1" ht="11.5" x14ac:dyDescent="0.25"/>
    <row r="167" s="1" customFormat="1" ht="11.5" x14ac:dyDescent="0.25"/>
    <row r="168" s="1" customFormat="1" ht="11.5" x14ac:dyDescent="0.25"/>
    <row r="169" s="1" customFormat="1" ht="11.5" x14ac:dyDescent="0.25"/>
    <row r="170" s="1" customFormat="1" ht="11.5" x14ac:dyDescent="0.25"/>
    <row r="171" s="1" customFormat="1" ht="11.5" x14ac:dyDescent="0.25"/>
    <row r="172" s="1" customFormat="1" ht="11.5" x14ac:dyDescent="0.25"/>
    <row r="173" s="1" customFormat="1" ht="11.5" x14ac:dyDescent="0.25"/>
    <row r="174" s="1" customFormat="1" ht="11.5" x14ac:dyDescent="0.25"/>
    <row r="175" s="1" customFormat="1" ht="11.5" x14ac:dyDescent="0.25"/>
    <row r="176" s="1" customFormat="1" ht="11.5" x14ac:dyDescent="0.25"/>
    <row r="177" s="1" customFormat="1" ht="11.5" x14ac:dyDescent="0.25"/>
    <row r="178" s="1" customFormat="1" ht="11.5" x14ac:dyDescent="0.25"/>
    <row r="179" s="1" customFormat="1" ht="11.5" x14ac:dyDescent="0.25"/>
    <row r="180" s="1" customFormat="1" ht="11.5" x14ac:dyDescent="0.25"/>
    <row r="181" s="1" customFormat="1" ht="11.5" x14ac:dyDescent="0.25"/>
    <row r="182" s="1" customFormat="1" ht="11.5" x14ac:dyDescent="0.25"/>
    <row r="183" s="1" customFormat="1" ht="11.5" x14ac:dyDescent="0.25"/>
    <row r="184" s="1" customFormat="1" ht="11.5" x14ac:dyDescent="0.25"/>
    <row r="185" s="1" customFormat="1" ht="11.5" x14ac:dyDescent="0.25"/>
    <row r="186" s="1" customFormat="1" ht="11.5" x14ac:dyDescent="0.25"/>
    <row r="187" s="1" customFormat="1" ht="11.5" x14ac:dyDescent="0.25"/>
    <row r="188" s="1" customFormat="1" ht="11.5" x14ac:dyDescent="0.25"/>
    <row r="189" s="1" customFormat="1" ht="11.5" x14ac:dyDescent="0.25"/>
    <row r="190" s="1" customFormat="1" ht="11.5" x14ac:dyDescent="0.25"/>
    <row r="191" s="1" customFormat="1" ht="11.5" x14ac:dyDescent="0.25"/>
    <row r="192" s="1" customFormat="1" ht="11.5" x14ac:dyDescent="0.25"/>
    <row r="193" s="1" customFormat="1" ht="11.5" x14ac:dyDescent="0.25"/>
    <row r="194" s="1" customFormat="1" ht="11.5" x14ac:dyDescent="0.25"/>
    <row r="195" s="1" customFormat="1" ht="11.5" x14ac:dyDescent="0.25"/>
    <row r="196" s="1" customFormat="1" ht="11.5" x14ac:dyDescent="0.25"/>
    <row r="197" s="1" customFormat="1" ht="11.5" x14ac:dyDescent="0.25"/>
    <row r="198" s="1" customFormat="1" ht="11.5" x14ac:dyDescent="0.25"/>
    <row r="199" s="1" customFormat="1" ht="11.5" x14ac:dyDescent="0.25"/>
    <row r="200" s="1" customFormat="1" ht="11.5" x14ac:dyDescent="0.25"/>
    <row r="201" s="1" customFormat="1" ht="11.5" x14ac:dyDescent="0.25"/>
    <row r="202" s="1" customFormat="1" ht="11.5" x14ac:dyDescent="0.25"/>
    <row r="203" s="1" customFormat="1" ht="11.5" x14ac:dyDescent="0.25"/>
    <row r="204" s="1" customFormat="1" ht="11.5" x14ac:dyDescent="0.25"/>
    <row r="205" s="1" customFormat="1" ht="11.5" x14ac:dyDescent="0.25"/>
    <row r="206" s="1" customFormat="1" ht="11.5" x14ac:dyDescent="0.25"/>
    <row r="207" s="1" customFormat="1" ht="11.5" x14ac:dyDescent="0.25"/>
    <row r="208" s="1" customFormat="1" ht="11.5" x14ac:dyDescent="0.25"/>
    <row r="209" s="1" customFormat="1" ht="11.5" x14ac:dyDescent="0.25"/>
    <row r="210" s="1" customFormat="1" ht="11.5" x14ac:dyDescent="0.25"/>
    <row r="211" s="1" customFormat="1" ht="11.5" x14ac:dyDescent="0.25"/>
    <row r="212" s="1" customFormat="1" ht="11.5" x14ac:dyDescent="0.25"/>
    <row r="213" s="1" customFormat="1" ht="11.5" x14ac:dyDescent="0.25"/>
    <row r="214" s="1" customFormat="1" ht="11.5" x14ac:dyDescent="0.25"/>
    <row r="215" s="1" customFormat="1" ht="11.5" x14ac:dyDescent="0.25"/>
    <row r="216" s="1" customFormat="1" ht="11.5" x14ac:dyDescent="0.25"/>
    <row r="217" s="1" customFormat="1" ht="11.5" x14ac:dyDescent="0.25"/>
    <row r="218" s="1" customFormat="1" ht="11.5" x14ac:dyDescent="0.25"/>
    <row r="219" s="1" customFormat="1" ht="11.5" x14ac:dyDescent="0.25"/>
    <row r="220" s="1" customFormat="1" ht="11.5" x14ac:dyDescent="0.25"/>
    <row r="221" s="1" customFormat="1" ht="11.5" x14ac:dyDescent="0.25"/>
    <row r="222" s="1" customFormat="1" ht="11.5" x14ac:dyDescent="0.25"/>
    <row r="223" s="1" customFormat="1" ht="11.5" x14ac:dyDescent="0.25"/>
    <row r="224" s="1" customFormat="1" ht="11.5" x14ac:dyDescent="0.25"/>
    <row r="225" s="1" customFormat="1" ht="11.5" x14ac:dyDescent="0.25"/>
    <row r="226" s="1" customFormat="1" ht="11.5" x14ac:dyDescent="0.25"/>
    <row r="227" s="1" customFormat="1" ht="11.5" x14ac:dyDescent="0.25"/>
    <row r="228" s="1" customFormat="1" ht="11.5" x14ac:dyDescent="0.25"/>
    <row r="229" s="1" customFormat="1" ht="11.5" x14ac:dyDescent="0.25"/>
    <row r="230" s="1" customFormat="1" ht="11.5" x14ac:dyDescent="0.25"/>
    <row r="231" s="1" customFormat="1" ht="11.5" x14ac:dyDescent="0.25"/>
    <row r="232" s="1" customFormat="1" ht="11.5" x14ac:dyDescent="0.25"/>
    <row r="233" s="1" customFormat="1" ht="11.5" x14ac:dyDescent="0.25"/>
    <row r="234" s="1" customFormat="1" ht="11.5" x14ac:dyDescent="0.25"/>
    <row r="235" s="1" customFormat="1" ht="11.5" x14ac:dyDescent="0.25"/>
    <row r="236" s="1" customFormat="1" ht="11.5" x14ac:dyDescent="0.25"/>
    <row r="237" s="1" customFormat="1" ht="11.5" x14ac:dyDescent="0.25"/>
    <row r="238" s="1" customFormat="1" ht="11.5" x14ac:dyDescent="0.25"/>
    <row r="239" s="1" customFormat="1" ht="11.5" x14ac:dyDescent="0.25"/>
    <row r="240" s="1" customFormat="1" ht="11.5" x14ac:dyDescent="0.25"/>
    <row r="241" s="1" customFormat="1" ht="11.5" x14ac:dyDescent="0.25"/>
    <row r="242" s="1" customFormat="1" ht="11.5" x14ac:dyDescent="0.25"/>
    <row r="243" s="1" customFormat="1" ht="11.5" x14ac:dyDescent="0.25"/>
    <row r="244" s="1" customFormat="1" ht="11.5" x14ac:dyDescent="0.25"/>
    <row r="245" s="1" customFormat="1" ht="11.5" x14ac:dyDescent="0.25"/>
    <row r="246" s="1" customFormat="1" ht="11.5" x14ac:dyDescent="0.25"/>
    <row r="247" s="1" customFormat="1" ht="11.5" x14ac:dyDescent="0.25"/>
    <row r="248" s="1" customFormat="1" ht="11.5" x14ac:dyDescent="0.25"/>
    <row r="249" s="1" customFormat="1" ht="11.5" x14ac:dyDescent="0.25"/>
    <row r="250" s="1" customFormat="1" ht="11.5" x14ac:dyDescent="0.25"/>
    <row r="251" s="1" customFormat="1" ht="11.5" x14ac:dyDescent="0.25"/>
    <row r="252" s="1" customFormat="1" ht="11.5" x14ac:dyDescent="0.25"/>
    <row r="253" s="1" customFormat="1" ht="11.5" x14ac:dyDescent="0.25"/>
    <row r="254" s="1" customFormat="1" ht="11.5" x14ac:dyDescent="0.25"/>
    <row r="255" s="1" customFormat="1" ht="11.5" x14ac:dyDescent="0.25"/>
    <row r="256" s="1" customFormat="1" ht="11.5" x14ac:dyDescent="0.25"/>
    <row r="257" s="1" customFormat="1" ht="11.5" x14ac:dyDescent="0.25"/>
    <row r="258" s="1" customFormat="1" ht="11.5" x14ac:dyDescent="0.25"/>
    <row r="259" s="1" customFormat="1" ht="11.5" x14ac:dyDescent="0.25"/>
    <row r="260" s="1" customFormat="1" ht="11.5" x14ac:dyDescent="0.25"/>
    <row r="261" s="1" customFormat="1" ht="11.5" x14ac:dyDescent="0.25"/>
    <row r="262" s="1" customFormat="1" ht="11.5" x14ac:dyDescent="0.25"/>
    <row r="263" s="1" customFormat="1" ht="11.5" x14ac:dyDescent="0.25"/>
    <row r="264" s="1" customFormat="1" ht="11.5" x14ac:dyDescent="0.25"/>
    <row r="265" s="1" customFormat="1" ht="11.5" x14ac:dyDescent="0.25"/>
    <row r="266" s="1" customFormat="1" ht="11.5" x14ac:dyDescent="0.25"/>
    <row r="267" s="1" customFormat="1" ht="11.5" x14ac:dyDescent="0.25"/>
    <row r="268" s="1" customFormat="1" ht="11.5" x14ac:dyDescent="0.25"/>
    <row r="269" s="1" customFormat="1" ht="11.5" x14ac:dyDescent="0.25"/>
    <row r="270" s="1" customFormat="1" ht="11.5" x14ac:dyDescent="0.25"/>
    <row r="271" s="1" customFormat="1" ht="11.5" x14ac:dyDescent="0.25"/>
    <row r="272" s="1" customFormat="1" ht="11.5" x14ac:dyDescent="0.25"/>
    <row r="273" s="1" customFormat="1" ht="11.5" x14ac:dyDescent="0.25"/>
    <row r="274" s="1" customFormat="1" ht="11.5" x14ac:dyDescent="0.25"/>
    <row r="275" s="1" customFormat="1" ht="11.5" x14ac:dyDescent="0.25"/>
    <row r="276" s="1" customFormat="1" ht="11.5" x14ac:dyDescent="0.25"/>
    <row r="277" s="1" customFormat="1" ht="11.5" x14ac:dyDescent="0.25"/>
    <row r="278" s="1" customFormat="1" ht="11.5" x14ac:dyDescent="0.25"/>
    <row r="279" s="1" customFormat="1" ht="11.5" x14ac:dyDescent="0.25"/>
    <row r="280" s="1" customFormat="1" ht="11.5" x14ac:dyDescent="0.25"/>
    <row r="281" s="1" customFormat="1" ht="11.5" x14ac:dyDescent="0.25"/>
    <row r="282" s="1" customFormat="1" ht="11.5" x14ac:dyDescent="0.25"/>
    <row r="283" s="1" customFormat="1" ht="11.5" x14ac:dyDescent="0.25"/>
    <row r="284" s="1" customFormat="1" ht="11.5" x14ac:dyDescent="0.25"/>
    <row r="285" s="1" customFormat="1" ht="11.5" x14ac:dyDescent="0.25"/>
    <row r="286" s="1" customFormat="1" ht="11.5" x14ac:dyDescent="0.25"/>
    <row r="287" s="1" customFormat="1" ht="11.5" x14ac:dyDescent="0.25"/>
    <row r="288" s="1" customFormat="1" ht="11.5" x14ac:dyDescent="0.25"/>
    <row r="289" s="1" customFormat="1" ht="11.5" x14ac:dyDescent="0.25"/>
    <row r="290" s="1" customFormat="1" ht="11.5" x14ac:dyDescent="0.25"/>
    <row r="291" s="1" customFormat="1" ht="11.5" x14ac:dyDescent="0.25"/>
    <row r="292" s="1" customFormat="1" ht="11.5" x14ac:dyDescent="0.25"/>
    <row r="293" s="1" customFormat="1" ht="11.5" x14ac:dyDescent="0.25"/>
    <row r="294" s="1" customFormat="1" ht="11.5" x14ac:dyDescent="0.25"/>
    <row r="295" s="1" customFormat="1" ht="11.5" x14ac:dyDescent="0.25"/>
    <row r="296" s="1" customFormat="1" ht="11.5" x14ac:dyDescent="0.25"/>
    <row r="297" s="1" customFormat="1" ht="11.5" x14ac:dyDescent="0.25"/>
    <row r="298" s="1" customFormat="1" ht="11.5" x14ac:dyDescent="0.25"/>
    <row r="299" s="1" customFormat="1" ht="11.5" x14ac:dyDescent="0.25"/>
    <row r="300" s="1" customFormat="1" ht="11.5" x14ac:dyDescent="0.25"/>
    <row r="301" s="1" customFormat="1" ht="11.5" x14ac:dyDescent="0.25"/>
    <row r="302" s="1" customFormat="1" ht="11.5" x14ac:dyDescent="0.25"/>
    <row r="303" s="1" customFormat="1" ht="11.5" x14ac:dyDescent="0.25"/>
    <row r="304" s="1" customFormat="1" ht="11.5" x14ac:dyDescent="0.25"/>
    <row r="305" s="1" customFormat="1" ht="11.5" x14ac:dyDescent="0.25"/>
    <row r="306" s="1" customFormat="1" ht="11.5" x14ac:dyDescent="0.25"/>
    <row r="307" s="1" customFormat="1" ht="11.5" x14ac:dyDescent="0.25"/>
    <row r="308" s="1" customFormat="1" ht="11.5" x14ac:dyDescent="0.25"/>
    <row r="309" s="1" customFormat="1" ht="11.5" x14ac:dyDescent="0.25"/>
    <row r="310" s="1" customFormat="1" ht="11.5" x14ac:dyDescent="0.25"/>
    <row r="311" s="1" customFormat="1" ht="11.5" x14ac:dyDescent="0.25"/>
    <row r="312" s="1" customFormat="1" ht="11.5" x14ac:dyDescent="0.25"/>
    <row r="313" s="1" customFormat="1" ht="11.5" x14ac:dyDescent="0.25"/>
    <row r="314" s="1" customFormat="1" ht="11.5" x14ac:dyDescent="0.25"/>
    <row r="315" s="1" customFormat="1" ht="11.5" x14ac:dyDescent="0.25"/>
    <row r="316" s="1" customFormat="1" ht="11.5" x14ac:dyDescent="0.25"/>
    <row r="317" s="1" customFormat="1" ht="11.5" x14ac:dyDescent="0.25"/>
    <row r="318" s="1" customFormat="1" ht="11.5" x14ac:dyDescent="0.25"/>
    <row r="319" s="1" customFormat="1" ht="11.5" x14ac:dyDescent="0.25"/>
    <row r="320" s="1" customFormat="1" ht="11.5" x14ac:dyDescent="0.25"/>
    <row r="321" s="1" customFormat="1" ht="11.5" x14ac:dyDescent="0.25"/>
    <row r="322" s="1" customFormat="1" ht="11.5" x14ac:dyDescent="0.25"/>
    <row r="323" s="1" customFormat="1" ht="11.5" x14ac:dyDescent="0.25"/>
    <row r="324" s="1" customFormat="1" ht="11.5" x14ac:dyDescent="0.25"/>
    <row r="325" s="1" customFormat="1" ht="11.5" x14ac:dyDescent="0.25"/>
    <row r="326" s="1" customFormat="1" ht="11.5" x14ac:dyDescent="0.25"/>
    <row r="327" s="1" customFormat="1" ht="11.5" x14ac:dyDescent="0.25"/>
    <row r="328" s="1" customFormat="1" ht="11.5" x14ac:dyDescent="0.25"/>
    <row r="329" s="1" customFormat="1" ht="11.5" x14ac:dyDescent="0.25"/>
    <row r="330" s="1" customFormat="1" ht="11.5" x14ac:dyDescent="0.25"/>
    <row r="331" s="1" customFormat="1" ht="11.5" x14ac:dyDescent="0.25"/>
    <row r="332" s="1" customFormat="1" ht="11.5" x14ac:dyDescent="0.25"/>
    <row r="333" s="1" customFormat="1" ht="11.5" x14ac:dyDescent="0.25"/>
    <row r="334" s="1" customFormat="1" ht="11.5" x14ac:dyDescent="0.25"/>
    <row r="335" s="1" customFormat="1" ht="11.5" x14ac:dyDescent="0.25"/>
    <row r="336" s="1" customFormat="1" ht="11.5" x14ac:dyDescent="0.25"/>
    <row r="337" s="1" customFormat="1" ht="11.5" x14ac:dyDescent="0.25"/>
    <row r="338" s="1" customFormat="1" ht="11.5" x14ac:dyDescent="0.25"/>
    <row r="339" s="1" customFormat="1" ht="11.5" x14ac:dyDescent="0.25"/>
    <row r="340" s="1" customFormat="1" ht="11.5" x14ac:dyDescent="0.25"/>
    <row r="341" s="1" customFormat="1" ht="11.5" x14ac:dyDescent="0.25"/>
    <row r="342" s="1" customFormat="1" ht="11.5" x14ac:dyDescent="0.25"/>
    <row r="343" s="1" customFormat="1" ht="11.5" x14ac:dyDescent="0.25"/>
    <row r="344" s="1" customFormat="1" ht="11.5" x14ac:dyDescent="0.25"/>
    <row r="345" s="1" customFormat="1" ht="11.5" x14ac:dyDescent="0.25"/>
    <row r="346" s="1" customFormat="1" ht="11.5" x14ac:dyDescent="0.25"/>
    <row r="347" s="1" customFormat="1" ht="11.5" x14ac:dyDescent="0.25"/>
    <row r="348" s="1" customFormat="1" ht="11.5" x14ac:dyDescent="0.25"/>
    <row r="349" s="1" customFormat="1" ht="11.5" x14ac:dyDescent="0.25"/>
    <row r="350" s="1" customFormat="1" ht="11.5" x14ac:dyDescent="0.25"/>
    <row r="351" s="1" customFormat="1" ht="11.5" x14ac:dyDescent="0.25"/>
    <row r="352" s="1" customFormat="1" ht="11.5" x14ac:dyDescent="0.25"/>
    <row r="353" s="1" customFormat="1" ht="11.5" x14ac:dyDescent="0.25"/>
    <row r="354" s="1" customFormat="1" ht="11.5" x14ac:dyDescent="0.25"/>
    <row r="355" s="1" customFormat="1" ht="11.5" x14ac:dyDescent="0.25"/>
    <row r="356" s="1" customFormat="1" ht="11.5" x14ac:dyDescent="0.25"/>
    <row r="357" s="1" customFormat="1" ht="11.5" x14ac:dyDescent="0.25"/>
    <row r="358" s="1" customFormat="1" ht="11.5" x14ac:dyDescent="0.25"/>
    <row r="359" s="1" customFormat="1" ht="11.5" x14ac:dyDescent="0.25"/>
    <row r="360" s="1" customFormat="1" ht="11.5" x14ac:dyDescent="0.25"/>
    <row r="361" s="1" customFormat="1" ht="11.5" x14ac:dyDescent="0.25"/>
    <row r="362" s="1" customFormat="1" ht="11.5" x14ac:dyDescent="0.25"/>
    <row r="363" s="1" customFormat="1" ht="11.5" x14ac:dyDescent="0.25"/>
    <row r="364" s="1" customFormat="1" ht="11.5" x14ac:dyDescent="0.25"/>
    <row r="365" s="1" customFormat="1" ht="11.5" x14ac:dyDescent="0.25"/>
    <row r="366" s="1" customFormat="1" ht="11.5" x14ac:dyDescent="0.25"/>
    <row r="367" s="1" customFormat="1" ht="11.5" x14ac:dyDescent="0.25"/>
    <row r="368" s="1" customFormat="1" ht="11.5" x14ac:dyDescent="0.25"/>
    <row r="369" s="1" customFormat="1" ht="11.5" x14ac:dyDescent="0.25"/>
    <row r="370" s="1" customFormat="1" ht="11.5" x14ac:dyDescent="0.25"/>
    <row r="371" s="1" customFormat="1" ht="11.5" x14ac:dyDescent="0.25"/>
    <row r="372" s="1" customFormat="1" ht="11.5" x14ac:dyDescent="0.25"/>
    <row r="373" s="1" customFormat="1" ht="11.5" x14ac:dyDescent="0.25"/>
    <row r="374" s="1" customFormat="1" ht="11.5" x14ac:dyDescent="0.25"/>
    <row r="375" s="1" customFormat="1" ht="11.5" x14ac:dyDescent="0.25"/>
    <row r="376" s="1" customFormat="1" ht="11.5" x14ac:dyDescent="0.25"/>
    <row r="377" s="1" customFormat="1" ht="11.5" x14ac:dyDescent="0.25"/>
    <row r="378" s="1" customFormat="1" ht="11.5" x14ac:dyDescent="0.25"/>
    <row r="379" s="1" customFormat="1" ht="11.5" x14ac:dyDescent="0.25"/>
    <row r="380" s="1" customFormat="1" ht="11.5" x14ac:dyDescent="0.25"/>
    <row r="381" s="1" customFormat="1" ht="11.5" x14ac:dyDescent="0.25"/>
    <row r="382" s="1" customFormat="1" ht="11.5" x14ac:dyDescent="0.25"/>
    <row r="383" s="1" customFormat="1" ht="11.5" x14ac:dyDescent="0.25"/>
    <row r="384" s="1" customFormat="1" ht="11.5" x14ac:dyDescent="0.25"/>
    <row r="385" s="1" customFormat="1" ht="11.5" x14ac:dyDescent="0.25"/>
    <row r="386" s="1" customFormat="1" ht="11.5" x14ac:dyDescent="0.25"/>
    <row r="387" s="1" customFormat="1" ht="11.5" x14ac:dyDescent="0.25"/>
    <row r="388" s="1" customFormat="1" ht="11.5" x14ac:dyDescent="0.25"/>
    <row r="389" s="1" customFormat="1" ht="11.5" x14ac:dyDescent="0.25"/>
    <row r="390" s="1" customFormat="1" ht="11.5" x14ac:dyDescent="0.25"/>
    <row r="391" s="1" customFormat="1" ht="11.5" x14ac:dyDescent="0.25"/>
    <row r="392" s="1" customFormat="1" ht="11.5" x14ac:dyDescent="0.25"/>
    <row r="393" s="1" customFormat="1" ht="11.5" x14ac:dyDescent="0.25"/>
    <row r="394" s="1" customFormat="1" ht="11.5" x14ac:dyDescent="0.25"/>
    <row r="395" s="1" customFormat="1" ht="11.5" x14ac:dyDescent="0.25"/>
    <row r="396" s="1" customFormat="1" ht="11.5" x14ac:dyDescent="0.25"/>
    <row r="397" s="1" customFormat="1" ht="11.5" x14ac:dyDescent="0.25"/>
    <row r="398" s="1" customFormat="1" ht="11.5" x14ac:dyDescent="0.25"/>
    <row r="399" s="1" customFormat="1" ht="11.5" x14ac:dyDescent="0.25"/>
    <row r="400" s="1" customFormat="1" ht="11.5" x14ac:dyDescent="0.25"/>
    <row r="401" s="1" customFormat="1" ht="11.5" x14ac:dyDescent="0.25"/>
    <row r="402" s="1" customFormat="1" ht="11.5" x14ac:dyDescent="0.25"/>
    <row r="403" s="1" customFormat="1" ht="11.5" x14ac:dyDescent="0.25"/>
    <row r="404" s="1" customFormat="1" ht="11.5" x14ac:dyDescent="0.25"/>
    <row r="405" s="1" customFormat="1" ht="11.5" x14ac:dyDescent="0.25"/>
    <row r="406" s="1" customFormat="1" ht="11.5" x14ac:dyDescent="0.25"/>
    <row r="407" s="1" customFormat="1" ht="11.5" x14ac:dyDescent="0.25"/>
    <row r="408" s="1" customFormat="1" ht="11.5" x14ac:dyDescent="0.25"/>
    <row r="409" s="1" customFormat="1" ht="11.5" x14ac:dyDescent="0.25"/>
    <row r="410" s="1" customFormat="1" ht="11.5" x14ac:dyDescent="0.25"/>
    <row r="411" s="1" customFormat="1" ht="11.5" x14ac:dyDescent="0.25"/>
    <row r="412" s="1" customFormat="1" ht="11.5" x14ac:dyDescent="0.25"/>
    <row r="413" s="1" customFormat="1" ht="11.5" x14ac:dyDescent="0.25"/>
    <row r="414" s="1" customFormat="1" ht="11.5" x14ac:dyDescent="0.25"/>
    <row r="415" s="1" customFormat="1" ht="11.5" x14ac:dyDescent="0.25"/>
    <row r="416" s="1" customFormat="1" ht="11.5" x14ac:dyDescent="0.25"/>
    <row r="417" s="1" customFormat="1" ht="11.5" x14ac:dyDescent="0.25"/>
    <row r="418" s="1" customFormat="1" ht="11.5" x14ac:dyDescent="0.25"/>
    <row r="419" s="1" customFormat="1" ht="11.5" x14ac:dyDescent="0.25"/>
    <row r="420" s="1" customFormat="1" ht="11.5" x14ac:dyDescent="0.25"/>
  </sheetData>
  <mergeCells count="1">
    <mergeCell ref="A75:A77"/>
  </mergeCells>
  <pageMargins left="0.7" right="0.7" top="0.75" bottom="0.75" header="0.3" footer="0.3"/>
  <pageSetup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workbookViewId="0">
      <selection activeCell="A3" sqref="A3"/>
    </sheetView>
  </sheetViews>
  <sheetFormatPr defaultRowHeight="14.5" x14ac:dyDescent="0.35"/>
  <cols>
    <col min="1" max="1" width="46.7265625" style="15" bestFit="1" customWidth="1"/>
    <col min="2" max="2" width="9.08984375" style="15" bestFit="1" customWidth="1"/>
    <col min="3" max="16384" width="8.7265625" style="15"/>
  </cols>
  <sheetData>
    <row r="1" spans="1:13" x14ac:dyDescent="0.35">
      <c r="A1" s="34" t="s">
        <v>10</v>
      </c>
    </row>
    <row r="2" spans="1:13" x14ac:dyDescent="0.35">
      <c r="A2" s="34"/>
    </row>
    <row r="3" spans="1:13" x14ac:dyDescent="0.35">
      <c r="A3" s="34" t="s">
        <v>73</v>
      </c>
    </row>
    <row r="5" spans="1:13" x14ac:dyDescent="0.35">
      <c r="A5" s="24"/>
      <c r="B5" s="12">
        <v>2010</v>
      </c>
      <c r="C5" s="13">
        <f>B5+1</f>
        <v>2011</v>
      </c>
      <c r="D5" s="13">
        <f t="shared" ref="D5:L5" si="0">C5+1</f>
        <v>2012</v>
      </c>
      <c r="E5" s="13">
        <f t="shared" si="0"/>
        <v>2013</v>
      </c>
      <c r="F5" s="13">
        <f t="shared" si="0"/>
        <v>2014</v>
      </c>
      <c r="G5" s="13">
        <f t="shared" si="0"/>
        <v>2015</v>
      </c>
      <c r="H5" s="13">
        <f t="shared" si="0"/>
        <v>2016</v>
      </c>
      <c r="I5" s="13">
        <f t="shared" si="0"/>
        <v>2017</v>
      </c>
      <c r="J5" s="13">
        <f t="shared" si="0"/>
        <v>2018</v>
      </c>
      <c r="K5" s="13">
        <f t="shared" si="0"/>
        <v>2019</v>
      </c>
      <c r="L5" s="14">
        <f t="shared" si="0"/>
        <v>2020</v>
      </c>
    </row>
    <row r="6" spans="1:13" x14ac:dyDescent="0.35">
      <c r="A6" s="11" t="s">
        <v>72</v>
      </c>
      <c r="C6" s="25"/>
      <c r="D6" s="26">
        <v>0.375</v>
      </c>
      <c r="E6" s="26">
        <v>0.53279944289693593</v>
      </c>
      <c r="F6" s="26">
        <v>0.56510365154092657</v>
      </c>
      <c r="G6" s="26">
        <v>0.56830947804504828</v>
      </c>
      <c r="H6" s="26">
        <v>0.57139461905118194</v>
      </c>
      <c r="I6" s="26">
        <v>0.57435995382865113</v>
      </c>
      <c r="J6" s="26">
        <v>0.57721128272220545</v>
      </c>
      <c r="K6" s="26">
        <v>0.5799600901666605</v>
      </c>
      <c r="L6" s="26">
        <v>0.58260326933870665</v>
      </c>
    </row>
    <row r="7" spans="1:13" x14ac:dyDescent="0.35">
      <c r="A7" s="10" t="s">
        <v>0</v>
      </c>
      <c r="B7" s="10"/>
    </row>
    <row r="8" spans="1:13" x14ac:dyDescent="0.35">
      <c r="A8" s="65" t="s">
        <v>1</v>
      </c>
      <c r="B8" s="11"/>
      <c r="C8" s="16"/>
      <c r="D8" s="16"/>
      <c r="E8" s="69">
        <v>1.3933333333333333</v>
      </c>
      <c r="F8" s="69">
        <v>0.40818941504178263</v>
      </c>
      <c r="G8" s="69">
        <v>5.9995252601178981E-2</v>
      </c>
      <c r="H8" s="17">
        <f>+G8</f>
        <v>5.9995252601178981E-2</v>
      </c>
      <c r="I8" s="17">
        <f t="shared" ref="I8:L8" si="1">+H8</f>
        <v>5.9995252601178981E-2</v>
      </c>
      <c r="J8" s="17">
        <f t="shared" si="1"/>
        <v>5.9995252601178981E-2</v>
      </c>
      <c r="K8" s="17">
        <f t="shared" si="1"/>
        <v>5.9995252601178981E-2</v>
      </c>
      <c r="L8" s="17">
        <f t="shared" si="1"/>
        <v>5.9995252601178981E-2</v>
      </c>
    </row>
    <row r="9" spans="1:13" x14ac:dyDescent="0.35">
      <c r="A9" s="70" t="s">
        <v>0</v>
      </c>
      <c r="B9" s="11"/>
      <c r="C9" s="10">
        <v>0</v>
      </c>
      <c r="D9" s="10">
        <v>6000</v>
      </c>
      <c r="E9" s="10">
        <v>14360</v>
      </c>
      <c r="F9" s="10">
        <v>20221.599999999999</v>
      </c>
      <c r="G9" s="10">
        <v>21434.799999999999</v>
      </c>
      <c r="H9" s="10">
        <v>22720.9</v>
      </c>
      <c r="I9" s="10">
        <v>24084.2</v>
      </c>
      <c r="J9" s="10">
        <v>25529.3</v>
      </c>
      <c r="K9" s="10">
        <v>27061</v>
      </c>
      <c r="L9" s="10">
        <v>28684.7</v>
      </c>
    </row>
    <row r="10" spans="1:13" x14ac:dyDescent="0.35">
      <c r="A10" s="10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x14ac:dyDescent="0.35">
      <c r="A11" s="11" t="s">
        <v>12</v>
      </c>
      <c r="B11" s="11"/>
      <c r="C11" s="18">
        <v>0</v>
      </c>
      <c r="D11" s="18">
        <v>1650</v>
      </c>
      <c r="E11" s="11">
        <v>1683</v>
      </c>
      <c r="F11" s="11">
        <v>1716.6</v>
      </c>
      <c r="G11" s="11">
        <v>1750.9</v>
      </c>
      <c r="H11" s="11">
        <v>1786</v>
      </c>
      <c r="I11" s="11">
        <v>1821.7</v>
      </c>
      <c r="J11" s="11">
        <v>1858.1</v>
      </c>
      <c r="K11" s="11">
        <v>1895.3</v>
      </c>
      <c r="L11" s="11">
        <v>1933.2</v>
      </c>
    </row>
    <row r="12" spans="1:13" x14ac:dyDescent="0.35">
      <c r="A12" s="11" t="s">
        <v>35</v>
      </c>
      <c r="B12" s="11" t="s">
        <v>51</v>
      </c>
      <c r="C12" s="18">
        <v>435</v>
      </c>
      <c r="D12" s="18"/>
      <c r="E12" s="11"/>
      <c r="F12" s="11"/>
      <c r="G12" s="11"/>
      <c r="H12" s="11"/>
      <c r="I12" s="11"/>
      <c r="J12" s="11"/>
      <c r="K12" s="11"/>
      <c r="L12" s="11"/>
    </row>
    <row r="13" spans="1:13" x14ac:dyDescent="0.35">
      <c r="A13" s="11" t="s">
        <v>46</v>
      </c>
      <c r="B13" s="11"/>
      <c r="C13" s="11">
        <v>0</v>
      </c>
      <c r="D13" s="11">
        <f>+D6*D9</f>
        <v>2250</v>
      </c>
      <c r="E13" s="11">
        <f t="shared" ref="E13:L13" si="2">+E6*E9</f>
        <v>7651</v>
      </c>
      <c r="F13" s="11">
        <f t="shared" si="2"/>
        <v>11427.3</v>
      </c>
      <c r="G13" s="11">
        <f t="shared" si="2"/>
        <v>12181.6</v>
      </c>
      <c r="H13" s="11">
        <f t="shared" si="2"/>
        <v>12982.6</v>
      </c>
      <c r="I13" s="11">
        <f t="shared" si="2"/>
        <v>13833</v>
      </c>
      <c r="J13" s="11">
        <f t="shared" si="2"/>
        <v>14735.8</v>
      </c>
      <c r="K13" s="11">
        <f t="shared" si="2"/>
        <v>15694.3</v>
      </c>
      <c r="L13" s="11">
        <f t="shared" si="2"/>
        <v>16711.8</v>
      </c>
    </row>
    <row r="14" spans="1:13" x14ac:dyDescent="0.35">
      <c r="A14" s="11" t="s">
        <v>3</v>
      </c>
      <c r="B14" s="19"/>
      <c r="C14" s="21">
        <v>0</v>
      </c>
      <c r="D14" s="21">
        <v>309.7</v>
      </c>
      <c r="E14" s="21">
        <v>309.7</v>
      </c>
      <c r="F14" s="21">
        <v>309.7</v>
      </c>
      <c r="G14" s="21">
        <v>436.2</v>
      </c>
      <c r="H14" s="21">
        <v>462.4</v>
      </c>
      <c r="I14" s="21">
        <v>490.1</v>
      </c>
      <c r="J14" s="21">
        <v>519.5</v>
      </c>
      <c r="K14" s="21">
        <v>550.70000000000005</v>
      </c>
      <c r="L14" s="21">
        <v>583.79999999999995</v>
      </c>
      <c r="M14" s="46">
        <f>SUM(D14:L14)</f>
        <v>3971.8</v>
      </c>
    </row>
    <row r="15" spans="1:13" x14ac:dyDescent="0.35">
      <c r="A15" s="10" t="s">
        <v>2</v>
      </c>
      <c r="B15" s="11">
        <f>SUM(B11:B14)</f>
        <v>0</v>
      </c>
      <c r="C15" s="11">
        <f>SUM(C11:C14)</f>
        <v>435</v>
      </c>
      <c r="D15" s="11">
        <f t="shared" ref="D15:L15" si="3">D14+D13+D11</f>
        <v>4209.7</v>
      </c>
      <c r="E15" s="11">
        <f t="shared" si="3"/>
        <v>9643.7000000000007</v>
      </c>
      <c r="F15" s="11">
        <f t="shared" si="3"/>
        <v>13453.6</v>
      </c>
      <c r="G15" s="11">
        <f t="shared" si="3"/>
        <v>14368.7</v>
      </c>
      <c r="H15" s="11">
        <f t="shared" si="3"/>
        <v>15231</v>
      </c>
      <c r="I15" s="11">
        <f t="shared" si="3"/>
        <v>16144.800000000001</v>
      </c>
      <c r="J15" s="11">
        <f t="shared" si="3"/>
        <v>17113.399999999998</v>
      </c>
      <c r="K15" s="11">
        <f t="shared" si="3"/>
        <v>18140.3</v>
      </c>
      <c r="L15" s="11">
        <f t="shared" si="3"/>
        <v>19228.8</v>
      </c>
    </row>
    <row r="16" spans="1:13" x14ac:dyDescent="0.35">
      <c r="A16" s="10" t="s">
        <v>11</v>
      </c>
      <c r="B16" s="21">
        <v>1201</v>
      </c>
      <c r="C16" s="21">
        <v>0</v>
      </c>
      <c r="D16" s="21">
        <v>1240</v>
      </c>
      <c r="E16" s="21">
        <v>2922</v>
      </c>
      <c r="F16" s="21">
        <v>4044.3199999999997</v>
      </c>
      <c r="G16" s="21">
        <v>4286.9791999999998</v>
      </c>
      <c r="H16" s="21">
        <v>4544.1979520000004</v>
      </c>
      <c r="I16" s="21">
        <v>4816.8498291199994</v>
      </c>
      <c r="J16" s="21">
        <v>5105.8608188671997</v>
      </c>
      <c r="K16" s="21">
        <v>5412.2124679992303</v>
      </c>
      <c r="L16" s="21">
        <v>5736.9452160791898</v>
      </c>
    </row>
    <row r="17" spans="1:27" x14ac:dyDescent="0.35">
      <c r="A17" s="10" t="s">
        <v>4</v>
      </c>
      <c r="B17" s="11">
        <f>B15+B16</f>
        <v>1201</v>
      </c>
      <c r="C17" s="11">
        <f t="shared" ref="C17:L17" si="4">C15+C16</f>
        <v>435</v>
      </c>
      <c r="D17" s="11">
        <f t="shared" si="4"/>
        <v>5449.7</v>
      </c>
      <c r="E17" s="11">
        <f t="shared" si="4"/>
        <v>12565.7</v>
      </c>
      <c r="F17" s="11">
        <f t="shared" si="4"/>
        <v>17497.919999999998</v>
      </c>
      <c r="G17" s="11">
        <f t="shared" si="4"/>
        <v>18655.679199999999</v>
      </c>
      <c r="H17" s="11">
        <f t="shared" si="4"/>
        <v>19775.197952000002</v>
      </c>
      <c r="I17" s="11">
        <f t="shared" si="4"/>
        <v>20961.649829120001</v>
      </c>
      <c r="J17" s="11">
        <f t="shared" si="4"/>
        <v>22219.260818867198</v>
      </c>
      <c r="K17" s="11">
        <f t="shared" si="4"/>
        <v>23552.51246799923</v>
      </c>
      <c r="L17" s="11">
        <f t="shared" si="4"/>
        <v>24965.745216079187</v>
      </c>
    </row>
    <row r="18" spans="1:27" x14ac:dyDescent="0.35">
      <c r="A18" s="10"/>
      <c r="B18" s="24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27" x14ac:dyDescent="0.35">
      <c r="A19" s="10" t="s">
        <v>9</v>
      </c>
      <c r="B19" s="42">
        <f t="shared" ref="B19" si="5">B7-B17</f>
        <v>-1201</v>
      </c>
      <c r="C19" s="42">
        <f t="shared" ref="C19:L19" si="6">C9-C17</f>
        <v>-435</v>
      </c>
      <c r="D19" s="42">
        <f t="shared" si="6"/>
        <v>550.30000000000018</v>
      </c>
      <c r="E19" s="42">
        <f t="shared" si="6"/>
        <v>1794.2999999999993</v>
      </c>
      <c r="F19" s="42">
        <f t="shared" si="6"/>
        <v>2723.6800000000003</v>
      </c>
      <c r="G19" s="42">
        <f t="shared" si="6"/>
        <v>2779.1208000000006</v>
      </c>
      <c r="H19" s="42">
        <f t="shared" si="6"/>
        <v>2945.7020479999992</v>
      </c>
      <c r="I19" s="42">
        <f t="shared" si="6"/>
        <v>3122.5501708800002</v>
      </c>
      <c r="J19" s="42">
        <f t="shared" si="6"/>
        <v>3310.0391811328009</v>
      </c>
      <c r="K19" s="42">
        <f t="shared" si="6"/>
        <v>3508.4875320007704</v>
      </c>
      <c r="L19" s="42">
        <f t="shared" si="6"/>
        <v>3718.9547839208135</v>
      </c>
    </row>
    <row r="20" spans="1:27" x14ac:dyDescent="0.35">
      <c r="A20" s="65" t="s">
        <v>65</v>
      </c>
      <c r="B20" s="11"/>
      <c r="C20" s="11"/>
      <c r="D20" s="32">
        <f t="shared" ref="D20:L20" si="7">D19/D9</f>
        <v>9.1716666666666696E-2</v>
      </c>
      <c r="E20" s="32">
        <f t="shared" si="7"/>
        <v>0.12495125348189411</v>
      </c>
      <c r="F20" s="32">
        <f t="shared" si="7"/>
        <v>0.13469161688491516</v>
      </c>
      <c r="G20" s="32">
        <f t="shared" si="7"/>
        <v>0.12965461772444811</v>
      </c>
      <c r="H20" s="32">
        <f t="shared" si="7"/>
        <v>0.12964724319899296</v>
      </c>
      <c r="I20" s="32">
        <f t="shared" si="7"/>
        <v>0.12965139680288323</v>
      </c>
      <c r="J20" s="32">
        <f t="shared" si="7"/>
        <v>0.12965648024555318</v>
      </c>
      <c r="K20" s="32">
        <f t="shared" si="7"/>
        <v>0.12965106729244191</v>
      </c>
      <c r="L20" s="32">
        <f t="shared" si="7"/>
        <v>0.12964942230251017</v>
      </c>
    </row>
    <row r="21" spans="1:27" x14ac:dyDescent="0.35">
      <c r="A21" s="65" t="s">
        <v>66</v>
      </c>
      <c r="B21" s="11"/>
      <c r="C21" s="11"/>
      <c r="D21" s="32">
        <f t="shared" ref="D21:L21" si="8">D16/D9</f>
        <v>0.20666666666666667</v>
      </c>
      <c r="E21" s="32">
        <f t="shared" si="8"/>
        <v>0.20348189415041781</v>
      </c>
      <c r="F21" s="32">
        <f t="shared" si="8"/>
        <v>0.2</v>
      </c>
      <c r="G21" s="32">
        <f t="shared" si="8"/>
        <v>0.20000089573963833</v>
      </c>
      <c r="H21" s="32">
        <f t="shared" si="8"/>
        <v>0.20000079010954672</v>
      </c>
      <c r="I21" s="32">
        <f t="shared" si="8"/>
        <v>0.20000040811486366</v>
      </c>
      <c r="J21" s="32">
        <f t="shared" si="8"/>
        <v>0.20000003207558373</v>
      </c>
      <c r="K21" s="32">
        <f t="shared" si="8"/>
        <v>0.20000046073682534</v>
      </c>
      <c r="L21" s="32">
        <f t="shared" si="8"/>
        <v>0.20000018184185958</v>
      </c>
    </row>
    <row r="22" spans="1:27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27" x14ac:dyDescent="0.35">
      <c r="A23" s="24" t="s">
        <v>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27" x14ac:dyDescent="0.35">
      <c r="A24" s="11" t="s">
        <v>6</v>
      </c>
      <c r="B24" s="25"/>
      <c r="C24" s="25"/>
      <c r="D24" s="26">
        <v>0.03</v>
      </c>
      <c r="E24" s="25">
        <f>+D24</f>
        <v>0.03</v>
      </c>
      <c r="F24" s="25">
        <f t="shared" ref="F24:L24" si="9">+E24</f>
        <v>0.03</v>
      </c>
      <c r="G24" s="25">
        <f t="shared" si="9"/>
        <v>0.03</v>
      </c>
      <c r="H24" s="25">
        <f t="shared" si="9"/>
        <v>0.03</v>
      </c>
      <c r="I24" s="25">
        <f t="shared" si="9"/>
        <v>0.03</v>
      </c>
      <c r="J24" s="25">
        <f t="shared" si="9"/>
        <v>0.03</v>
      </c>
      <c r="K24" s="25">
        <f t="shared" si="9"/>
        <v>0.03</v>
      </c>
      <c r="L24" s="25">
        <f t="shared" si="9"/>
        <v>0.03</v>
      </c>
    </row>
    <row r="25" spans="1:27" x14ac:dyDescent="0.35">
      <c r="A25" s="11" t="s">
        <v>7</v>
      </c>
      <c r="B25" s="27"/>
      <c r="C25" s="27"/>
      <c r="D25" s="28">
        <v>59.2</v>
      </c>
      <c r="E25" s="27">
        <f>+D25</f>
        <v>59.2</v>
      </c>
      <c r="F25" s="27">
        <f t="shared" ref="F25:L25" si="10">+E25</f>
        <v>59.2</v>
      </c>
      <c r="G25" s="27">
        <f t="shared" si="10"/>
        <v>59.2</v>
      </c>
      <c r="H25" s="27">
        <f t="shared" si="10"/>
        <v>59.2</v>
      </c>
      <c r="I25" s="27">
        <f t="shared" si="10"/>
        <v>59.2</v>
      </c>
      <c r="J25" s="27">
        <f t="shared" si="10"/>
        <v>59.2</v>
      </c>
      <c r="K25" s="27">
        <f t="shared" si="10"/>
        <v>59.2</v>
      </c>
      <c r="L25" s="27">
        <f t="shared" si="10"/>
        <v>59.2</v>
      </c>
    </row>
    <row r="26" spans="1:27" x14ac:dyDescent="0.35">
      <c r="A26" s="11" t="s">
        <v>48</v>
      </c>
      <c r="B26" s="27"/>
      <c r="C26" s="27"/>
      <c r="D26" s="28">
        <v>12.2</v>
      </c>
      <c r="E26" s="28">
        <v>12.3</v>
      </c>
      <c r="F26" s="28">
        <v>12.6</v>
      </c>
      <c r="G26" s="28">
        <v>12.7</v>
      </c>
      <c r="H26" s="27">
        <f>+G26</f>
        <v>12.7</v>
      </c>
      <c r="I26" s="27">
        <f t="shared" ref="I26:L26" si="11">+H26</f>
        <v>12.7</v>
      </c>
      <c r="J26" s="27">
        <f t="shared" si="11"/>
        <v>12.7</v>
      </c>
      <c r="K26" s="27">
        <f t="shared" si="11"/>
        <v>12.7</v>
      </c>
      <c r="L26" s="27">
        <f t="shared" si="11"/>
        <v>12.7</v>
      </c>
    </row>
    <row r="27" spans="1:27" x14ac:dyDescent="0.35">
      <c r="A27" s="11" t="s">
        <v>47</v>
      </c>
      <c r="B27" s="27"/>
      <c r="C27" s="27"/>
      <c r="D27" s="28">
        <v>33.67</v>
      </c>
      <c r="E27" s="28">
        <v>33.799999999999997</v>
      </c>
      <c r="F27" s="28">
        <v>33.9</v>
      </c>
      <c r="G27" s="27">
        <f>+F27</f>
        <v>33.9</v>
      </c>
      <c r="H27" s="27">
        <f t="shared" ref="H27:L27" si="12">+G27</f>
        <v>33.9</v>
      </c>
      <c r="I27" s="27">
        <f t="shared" si="12"/>
        <v>33.9</v>
      </c>
      <c r="J27" s="27">
        <f t="shared" si="12"/>
        <v>33.9</v>
      </c>
      <c r="K27" s="27">
        <f t="shared" si="12"/>
        <v>33.9</v>
      </c>
      <c r="L27" s="27">
        <f t="shared" si="12"/>
        <v>33.9</v>
      </c>
    </row>
    <row r="28" spans="1:27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27" x14ac:dyDescent="0.35">
      <c r="A29" s="11" t="s">
        <v>8</v>
      </c>
      <c r="B29" s="11">
        <v>4610</v>
      </c>
      <c r="C29" s="11">
        <v>0</v>
      </c>
      <c r="D29" s="11">
        <v>309.7</v>
      </c>
      <c r="E29" s="11">
        <v>309.7</v>
      </c>
      <c r="F29" s="11">
        <v>2191.5</v>
      </c>
      <c r="G29" s="11">
        <v>825.7</v>
      </c>
      <c r="H29" s="11">
        <v>875.3</v>
      </c>
      <c r="I29" s="11">
        <v>927.8</v>
      </c>
      <c r="J29" s="11">
        <v>983.4</v>
      </c>
      <c r="K29" s="11">
        <v>1042.5</v>
      </c>
      <c r="L29" s="11">
        <v>1105</v>
      </c>
    </row>
    <row r="30" spans="1:27" x14ac:dyDescent="0.35">
      <c r="A30" s="19" t="s">
        <v>49</v>
      </c>
      <c r="B30" s="11"/>
      <c r="C30" s="11"/>
      <c r="D30" s="11"/>
      <c r="E30" s="31">
        <f>E29/D29-1</f>
        <v>0</v>
      </c>
      <c r="F30" s="31">
        <f t="shared" ref="F30:L30" si="13">F29/E29-1</f>
        <v>6.0762027768808524</v>
      </c>
      <c r="G30" s="31">
        <f t="shared" si="13"/>
        <v>-0.62322610084417063</v>
      </c>
      <c r="H30" s="31">
        <f t="shared" si="13"/>
        <v>6.0070243429817038E-2</v>
      </c>
      <c r="I30" s="31">
        <f t="shared" si="13"/>
        <v>5.9979435622072419E-2</v>
      </c>
      <c r="J30" s="31">
        <f t="shared" si="13"/>
        <v>5.9926708342315171E-2</v>
      </c>
      <c r="K30" s="31">
        <f t="shared" si="13"/>
        <v>6.0097620500304982E-2</v>
      </c>
      <c r="L30" s="31">
        <f t="shared" si="13"/>
        <v>5.9952038369304628E-2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35">
      <c r="A31" s="19" t="s">
        <v>74</v>
      </c>
      <c r="B31" s="32"/>
      <c r="C31" s="32"/>
      <c r="D31" s="32">
        <f t="shared" ref="D31:L31" si="14">+D29/D9</f>
        <v>5.1616666666666665E-2</v>
      </c>
      <c r="E31" s="32">
        <f t="shared" si="14"/>
        <v>2.156685236768802E-2</v>
      </c>
      <c r="F31" s="32">
        <f t="shared" si="14"/>
        <v>0.10837421371207027</v>
      </c>
      <c r="G31" s="32">
        <f t="shared" si="14"/>
        <v>3.8521469759456591E-2</v>
      </c>
      <c r="H31" s="32">
        <f t="shared" si="14"/>
        <v>3.8524002130197306E-2</v>
      </c>
      <c r="I31" s="32">
        <f t="shared" si="14"/>
        <v>3.8523181172719044E-2</v>
      </c>
      <c r="J31" s="32">
        <f t="shared" si="14"/>
        <v>3.8520445135589304E-2</v>
      </c>
      <c r="K31" s="32">
        <f t="shared" si="14"/>
        <v>3.8524075237426555E-2</v>
      </c>
      <c r="L31" s="32">
        <f t="shared" si="14"/>
        <v>3.8522278427175462E-2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35">
      <c r="A32" s="7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35">
      <c r="A33" s="34" t="s">
        <v>52</v>
      </c>
      <c r="B33" s="12">
        <v>2010</v>
      </c>
      <c r="C33" s="13">
        <f>B33+1</f>
        <v>2011</v>
      </c>
      <c r="D33" s="13">
        <f t="shared" ref="D33" si="15">C33+1</f>
        <v>2012</v>
      </c>
      <c r="E33" s="13">
        <f t="shared" ref="E33" si="16">D33+1</f>
        <v>2013</v>
      </c>
      <c r="F33" s="13">
        <f t="shared" ref="F33" si="17">E33+1</f>
        <v>2014</v>
      </c>
      <c r="G33" s="13">
        <f t="shared" ref="G33" si="18">F33+1</f>
        <v>2015</v>
      </c>
      <c r="H33" s="13">
        <f t="shared" ref="H33" si="19">G33+1</f>
        <v>2016</v>
      </c>
      <c r="I33" s="13">
        <f t="shared" ref="I33" si="20">H33+1</f>
        <v>2017</v>
      </c>
      <c r="J33" s="13">
        <f t="shared" ref="J33" si="21">I33+1</f>
        <v>2018</v>
      </c>
      <c r="K33" s="13">
        <f t="shared" ref="K33" si="22">J33+1</f>
        <v>2019</v>
      </c>
      <c r="L33" s="14">
        <f t="shared" ref="L33" si="23">K33+1</f>
        <v>2020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35">
      <c r="A34" s="67" t="s">
        <v>15</v>
      </c>
      <c r="B34" s="11"/>
      <c r="C34" s="35">
        <v>0</v>
      </c>
      <c r="D34" s="35">
        <f t="shared" ref="D34:L34" si="24">D24*D9</f>
        <v>180</v>
      </c>
      <c r="E34" s="35">
        <f t="shared" si="24"/>
        <v>430.8</v>
      </c>
      <c r="F34" s="35">
        <f t="shared" si="24"/>
        <v>606.64799999999991</v>
      </c>
      <c r="G34" s="35">
        <f t="shared" si="24"/>
        <v>643.04399999999998</v>
      </c>
      <c r="H34" s="35">
        <f t="shared" si="24"/>
        <v>681.62700000000007</v>
      </c>
      <c r="I34" s="35">
        <f t="shared" si="24"/>
        <v>722.52599999999995</v>
      </c>
      <c r="J34" s="35">
        <f t="shared" si="24"/>
        <v>765.87899999999991</v>
      </c>
      <c r="K34" s="35">
        <f t="shared" si="24"/>
        <v>811.82999999999993</v>
      </c>
      <c r="L34" s="35">
        <f t="shared" si="24"/>
        <v>860.54099999999994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35">
      <c r="A35" s="67" t="s">
        <v>16</v>
      </c>
      <c r="B35" s="33"/>
      <c r="C35" s="33"/>
      <c r="D35" s="35">
        <f t="shared" ref="D35:L35" si="25">(D25/365)*D9</f>
        <v>973.15068493150693</v>
      </c>
      <c r="E35" s="35">
        <f t="shared" si="25"/>
        <v>2329.07397260274</v>
      </c>
      <c r="F35" s="35">
        <f t="shared" si="25"/>
        <v>3279.777315068493</v>
      </c>
      <c r="G35" s="35">
        <f t="shared" si="25"/>
        <v>3476.5483835616437</v>
      </c>
      <c r="H35" s="35">
        <f t="shared" si="25"/>
        <v>3685.1432328767128</v>
      </c>
      <c r="I35" s="35">
        <f t="shared" si="25"/>
        <v>3906.2592876712333</v>
      </c>
      <c r="J35" s="35">
        <f t="shared" si="25"/>
        <v>4140.6426301369866</v>
      </c>
      <c r="K35" s="35">
        <f t="shared" si="25"/>
        <v>4389.0717808219179</v>
      </c>
      <c r="L35" s="35">
        <f t="shared" si="25"/>
        <v>4652.4225753424662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35">
      <c r="A36" s="67" t="s">
        <v>17</v>
      </c>
      <c r="B36" s="33"/>
      <c r="C36" s="33"/>
      <c r="D36" s="35">
        <f>D15/D26</f>
        <v>345.05737704918033</v>
      </c>
      <c r="E36" s="35">
        <f t="shared" ref="E36:L36" si="26">E15/E26</f>
        <v>784.04065040650403</v>
      </c>
      <c r="F36" s="35">
        <f t="shared" si="26"/>
        <v>1067.7460317460318</v>
      </c>
      <c r="G36" s="35">
        <f t="shared" si="26"/>
        <v>1131.3937007874017</v>
      </c>
      <c r="H36" s="35">
        <f t="shared" si="26"/>
        <v>1199.2913385826773</v>
      </c>
      <c r="I36" s="35">
        <f t="shared" si="26"/>
        <v>1271.2440944881891</v>
      </c>
      <c r="J36" s="35">
        <f t="shared" si="26"/>
        <v>1347.5118110236219</v>
      </c>
      <c r="K36" s="35">
        <f t="shared" si="26"/>
        <v>1428.3700787401574</v>
      </c>
      <c r="L36" s="35">
        <f t="shared" si="26"/>
        <v>1514.0787401574803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35">
      <c r="A37" s="67" t="s">
        <v>18</v>
      </c>
      <c r="B37" s="36"/>
      <c r="C37" s="36"/>
      <c r="D37" s="37">
        <f>(D27/365)*(D17-D14)</f>
        <v>474.14739726027403</v>
      </c>
      <c r="E37" s="37">
        <f t="shared" ref="E37:L37" si="27">(E27/365)*(E17-E14)</f>
        <v>1134.9391780821918</v>
      </c>
      <c r="F37" s="37">
        <f t="shared" si="27"/>
        <v>1596.3853643835614</v>
      </c>
      <c r="G37" s="37">
        <f t="shared" si="27"/>
        <v>1692.165328438356</v>
      </c>
      <c r="H37" s="37">
        <f t="shared" si="27"/>
        <v>1793.7091796515069</v>
      </c>
      <c r="I37" s="37">
        <f t="shared" si="27"/>
        <v>1901.3302444032001</v>
      </c>
      <c r="J37" s="37">
        <f t="shared" si="27"/>
        <v>2015.402443176981</v>
      </c>
      <c r="K37" s="37">
        <f t="shared" si="27"/>
        <v>2136.3327196306132</v>
      </c>
      <c r="L37" s="37">
        <f t="shared" si="27"/>
        <v>2264.5149118495465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35">
      <c r="A38" s="67" t="s">
        <v>52</v>
      </c>
      <c r="B38" s="33"/>
      <c r="C38" s="45">
        <v>1000</v>
      </c>
      <c r="D38" s="11">
        <f>D34+D35+D36-D37</f>
        <v>1024.0606647204131</v>
      </c>
      <c r="E38" s="11">
        <f t="shared" ref="E38:L38" si="28">E34+E35+E36-E37</f>
        <v>2408.9754449270522</v>
      </c>
      <c r="F38" s="11">
        <f t="shared" si="28"/>
        <v>3357.785982430963</v>
      </c>
      <c r="G38" s="11">
        <f t="shared" si="28"/>
        <v>3558.82075591069</v>
      </c>
      <c r="H38" s="11">
        <f t="shared" si="28"/>
        <v>3772.3523918078827</v>
      </c>
      <c r="I38" s="11">
        <f t="shared" si="28"/>
        <v>3998.6991377562222</v>
      </c>
      <c r="J38" s="11">
        <f t="shared" si="28"/>
        <v>4238.6309979836269</v>
      </c>
      <c r="K38" s="11">
        <f t="shared" si="28"/>
        <v>4492.9391399314627</v>
      </c>
      <c r="L38" s="11">
        <f t="shared" si="28"/>
        <v>4762.5274036503997</v>
      </c>
      <c r="M38" s="46"/>
      <c r="N38" s="11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35">
      <c r="A39" s="68" t="s">
        <v>60</v>
      </c>
      <c r="B39" s="33"/>
      <c r="C39" s="73">
        <f>C38-B38</f>
        <v>1000</v>
      </c>
      <c r="D39" s="73">
        <f t="shared" ref="D39:L39" si="29">D38-C38</f>
        <v>24.060664720413115</v>
      </c>
      <c r="E39" s="73">
        <f t="shared" si="29"/>
        <v>1384.9147802066391</v>
      </c>
      <c r="F39" s="73">
        <f t="shared" si="29"/>
        <v>948.81053750391084</v>
      </c>
      <c r="G39" s="73">
        <f t="shared" si="29"/>
        <v>201.03477347972694</v>
      </c>
      <c r="H39" s="73">
        <f t="shared" si="29"/>
        <v>213.5316358971927</v>
      </c>
      <c r="I39" s="73">
        <f t="shared" si="29"/>
        <v>226.3467459483395</v>
      </c>
      <c r="J39" s="73">
        <f t="shared" si="29"/>
        <v>239.93186022740474</v>
      </c>
      <c r="K39" s="73">
        <f t="shared" si="29"/>
        <v>254.30814194783579</v>
      </c>
      <c r="L39" s="73">
        <f t="shared" si="29"/>
        <v>269.58826371893701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35">
      <c r="A40" s="67" t="s">
        <v>75</v>
      </c>
      <c r="B40" s="33"/>
      <c r="C40" s="73"/>
      <c r="D40" s="32">
        <f t="shared" ref="D40:L40" si="30">D38/D9</f>
        <v>0.17067677745340218</v>
      </c>
      <c r="E40" s="32">
        <f t="shared" si="30"/>
        <v>0.16775595020383371</v>
      </c>
      <c r="F40" s="32">
        <f t="shared" si="30"/>
        <v>0.16604947098305589</v>
      </c>
      <c r="G40" s="32">
        <f t="shared" si="30"/>
        <v>0.16603004254346623</v>
      </c>
      <c r="H40" s="32">
        <f t="shared" si="30"/>
        <v>0.16603006006839</v>
      </c>
      <c r="I40" s="32">
        <f t="shared" si="30"/>
        <v>0.16602997557553176</v>
      </c>
      <c r="J40" s="32">
        <f t="shared" si="30"/>
        <v>0.16603005166548346</v>
      </c>
      <c r="K40" s="32">
        <f t="shared" si="30"/>
        <v>0.166030048406617</v>
      </c>
      <c r="L40" s="32">
        <f t="shared" si="30"/>
        <v>0.16603023227192196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35">
      <c r="A42" s="40" t="s">
        <v>23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35">
      <c r="A43" s="33"/>
      <c r="B43" s="12">
        <v>2010</v>
      </c>
      <c r="C43" s="13">
        <f>B43+1</f>
        <v>2011</v>
      </c>
      <c r="D43" s="13">
        <f t="shared" ref="D43" si="31">C43+1</f>
        <v>2012</v>
      </c>
      <c r="E43" s="13">
        <f t="shared" ref="E43" si="32">D43+1</f>
        <v>2013</v>
      </c>
      <c r="F43" s="13">
        <f t="shared" ref="F43" si="33">E43+1</f>
        <v>2014</v>
      </c>
      <c r="G43" s="13">
        <f t="shared" ref="G43" si="34">F43+1</f>
        <v>2015</v>
      </c>
      <c r="H43" s="13">
        <f t="shared" ref="H43" si="35">G43+1</f>
        <v>2016</v>
      </c>
      <c r="I43" s="13">
        <f t="shared" ref="I43" si="36">H43+1</f>
        <v>2017</v>
      </c>
      <c r="J43" s="13">
        <f t="shared" ref="J43" si="37">I43+1</f>
        <v>2018</v>
      </c>
      <c r="K43" s="13">
        <f t="shared" ref="K43" si="38">J43+1</f>
        <v>2019</v>
      </c>
      <c r="L43" s="14">
        <f t="shared" ref="L43" si="39">K43+1</f>
        <v>2020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35">
      <c r="A44" s="41" t="s">
        <v>55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35">
      <c r="A45" s="66" t="s">
        <v>54</v>
      </c>
      <c r="B45" s="74">
        <f>B19*(1-0.4)</f>
        <v>-720.6</v>
      </c>
      <c r="C45" s="74">
        <f t="shared" ref="C45:L45" si="40">C19*(1-0.4)</f>
        <v>-261</v>
      </c>
      <c r="D45" s="74">
        <f t="shared" si="40"/>
        <v>330.18000000000012</v>
      </c>
      <c r="E45" s="74">
        <f t="shared" si="40"/>
        <v>1076.5799999999995</v>
      </c>
      <c r="F45" s="74">
        <f t="shared" si="40"/>
        <v>1634.2080000000001</v>
      </c>
      <c r="G45" s="74">
        <f t="shared" si="40"/>
        <v>1667.4724800000004</v>
      </c>
      <c r="H45" s="74">
        <f t="shared" si="40"/>
        <v>1767.4212287999994</v>
      </c>
      <c r="I45" s="74">
        <f t="shared" si="40"/>
        <v>1873.530102528</v>
      </c>
      <c r="J45" s="74">
        <f t="shared" si="40"/>
        <v>1986.0235086796804</v>
      </c>
      <c r="K45" s="74">
        <f t="shared" si="40"/>
        <v>2105.092519200462</v>
      </c>
      <c r="L45" s="74">
        <f t="shared" si="40"/>
        <v>2231.372870352488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35">
      <c r="A46" s="67" t="s">
        <v>19</v>
      </c>
      <c r="B46" s="11"/>
      <c r="C46" s="11">
        <f t="shared" ref="C46:L46" si="41">+C14</f>
        <v>0</v>
      </c>
      <c r="D46" s="11">
        <f t="shared" si="41"/>
        <v>309.7</v>
      </c>
      <c r="E46" s="11">
        <f t="shared" si="41"/>
        <v>309.7</v>
      </c>
      <c r="F46" s="11">
        <f t="shared" si="41"/>
        <v>309.7</v>
      </c>
      <c r="G46" s="11">
        <f t="shared" si="41"/>
        <v>436.2</v>
      </c>
      <c r="H46" s="11">
        <f t="shared" si="41"/>
        <v>462.4</v>
      </c>
      <c r="I46" s="11">
        <f t="shared" si="41"/>
        <v>490.1</v>
      </c>
      <c r="J46" s="11">
        <f t="shared" si="41"/>
        <v>519.5</v>
      </c>
      <c r="K46" s="11">
        <f t="shared" si="41"/>
        <v>550.70000000000005</v>
      </c>
      <c r="L46" s="11">
        <f t="shared" si="41"/>
        <v>583.79999999999995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35">
      <c r="A47" s="67" t="s">
        <v>59</v>
      </c>
      <c r="B47" s="33"/>
      <c r="C47" s="74">
        <f>-C39</f>
        <v>-1000</v>
      </c>
      <c r="D47" s="74">
        <f t="shared" ref="D47:L47" si="42">-D39</f>
        <v>-24.060664720413115</v>
      </c>
      <c r="E47" s="74">
        <f t="shared" si="42"/>
        <v>-1384.9147802066391</v>
      </c>
      <c r="F47" s="74">
        <f t="shared" si="42"/>
        <v>-948.81053750391084</v>
      </c>
      <c r="G47" s="74">
        <f t="shared" si="42"/>
        <v>-201.03477347972694</v>
      </c>
      <c r="H47" s="74">
        <f t="shared" si="42"/>
        <v>-213.5316358971927</v>
      </c>
      <c r="I47" s="74">
        <f t="shared" si="42"/>
        <v>-226.3467459483395</v>
      </c>
      <c r="J47" s="74">
        <f t="shared" si="42"/>
        <v>-239.93186022740474</v>
      </c>
      <c r="K47" s="74">
        <f t="shared" si="42"/>
        <v>-254.30814194783579</v>
      </c>
      <c r="L47" s="74">
        <f t="shared" si="42"/>
        <v>-269.58826371893701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35">
      <c r="A48" s="67" t="s">
        <v>20</v>
      </c>
      <c r="B48" s="75">
        <f>-B29</f>
        <v>-4610</v>
      </c>
      <c r="C48" s="75">
        <f t="shared" ref="C48:L48" si="43">-C29</f>
        <v>0</v>
      </c>
      <c r="D48" s="75">
        <f t="shared" si="43"/>
        <v>-309.7</v>
      </c>
      <c r="E48" s="75">
        <f t="shared" si="43"/>
        <v>-309.7</v>
      </c>
      <c r="F48" s="75">
        <f t="shared" si="43"/>
        <v>-2191.5</v>
      </c>
      <c r="G48" s="75">
        <f t="shared" si="43"/>
        <v>-825.7</v>
      </c>
      <c r="H48" s="75">
        <f t="shared" si="43"/>
        <v>-875.3</v>
      </c>
      <c r="I48" s="75">
        <f t="shared" si="43"/>
        <v>-927.8</v>
      </c>
      <c r="J48" s="75">
        <f t="shared" si="43"/>
        <v>-983.4</v>
      </c>
      <c r="K48" s="75">
        <f t="shared" si="43"/>
        <v>-1042.5</v>
      </c>
      <c r="L48" s="75">
        <f t="shared" si="43"/>
        <v>-1105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35">
      <c r="A49" s="67" t="s">
        <v>56</v>
      </c>
      <c r="B49" s="74">
        <f>SUM(B45:B48)</f>
        <v>-5330.6</v>
      </c>
      <c r="C49" s="74">
        <f t="shared" ref="C49:L49" si="44">SUM(C45:C48)</f>
        <v>-1261</v>
      </c>
      <c r="D49" s="74">
        <f t="shared" si="44"/>
        <v>306.11933527958701</v>
      </c>
      <c r="E49" s="74">
        <f t="shared" si="44"/>
        <v>-308.33478020663955</v>
      </c>
      <c r="F49" s="74">
        <f t="shared" si="44"/>
        <v>-1196.4025375039107</v>
      </c>
      <c r="G49" s="74">
        <f t="shared" si="44"/>
        <v>1076.9377065202732</v>
      </c>
      <c r="H49" s="74">
        <f t="shared" si="44"/>
        <v>1140.9895929028069</v>
      </c>
      <c r="I49" s="74">
        <f t="shared" si="44"/>
        <v>1209.4833565796605</v>
      </c>
      <c r="J49" s="74">
        <f t="shared" si="44"/>
        <v>1282.1916484522753</v>
      </c>
      <c r="K49" s="74">
        <f t="shared" si="44"/>
        <v>1358.9843772526265</v>
      </c>
      <c r="L49" s="74">
        <f t="shared" si="44"/>
        <v>1440.5846066335507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35">
      <c r="A50" s="67" t="s">
        <v>71</v>
      </c>
      <c r="B50" s="44">
        <v>0.03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35">
      <c r="A51" s="67" t="s">
        <v>24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45">
        <f>(L49*(1+$B$50))/($B$52-$B$50)</f>
        <v>24730.035747209291</v>
      </c>
      <c r="M51" s="45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35">
      <c r="A52" s="67" t="s">
        <v>38</v>
      </c>
      <c r="B52" s="44">
        <v>0.09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35">
      <c r="A53" s="67" t="s">
        <v>25</v>
      </c>
      <c r="B53" s="39">
        <f>1</f>
        <v>1</v>
      </c>
      <c r="C53" s="48">
        <f>B53*(1+$B$52)</f>
        <v>1.0900000000000001</v>
      </c>
      <c r="D53" s="48">
        <f t="shared" ref="D53:L53" si="45">C53*(1+$B$52)</f>
        <v>1.1881000000000002</v>
      </c>
      <c r="E53" s="48">
        <f t="shared" si="45"/>
        <v>1.2950290000000002</v>
      </c>
      <c r="F53" s="48">
        <f t="shared" si="45"/>
        <v>1.4115816100000003</v>
      </c>
      <c r="G53" s="48">
        <f t="shared" si="45"/>
        <v>1.5386239549000005</v>
      </c>
      <c r="H53" s="48">
        <f t="shared" si="45"/>
        <v>1.6771001108410006</v>
      </c>
      <c r="I53" s="48">
        <f t="shared" si="45"/>
        <v>1.8280391208166908</v>
      </c>
      <c r="J53" s="48">
        <f t="shared" si="45"/>
        <v>1.9925626416901931</v>
      </c>
      <c r="K53" s="48">
        <f t="shared" si="45"/>
        <v>2.1718932794423105</v>
      </c>
      <c r="L53" s="48">
        <f t="shared" si="45"/>
        <v>2.3673636745921187</v>
      </c>
      <c r="M53" s="48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35">
      <c r="A54" s="67" t="s">
        <v>21</v>
      </c>
      <c r="B54" s="45">
        <f>+B49/B53</f>
        <v>-5330.6</v>
      </c>
      <c r="C54" s="45">
        <f t="shared" ref="C54:L54" si="46">+C49/C53</f>
        <v>-1156.880733944954</v>
      </c>
      <c r="D54" s="45">
        <f t="shared" si="46"/>
        <v>257.65452005688661</v>
      </c>
      <c r="E54" s="45">
        <f t="shared" si="46"/>
        <v>-238.09102360382624</v>
      </c>
      <c r="F54" s="45">
        <f t="shared" si="46"/>
        <v>-847.56172015014454</v>
      </c>
      <c r="G54" s="45">
        <f t="shared" si="46"/>
        <v>699.93561655568169</v>
      </c>
      <c r="H54" s="45">
        <f t="shared" si="46"/>
        <v>680.33481455716128</v>
      </c>
      <c r="I54" s="45">
        <f t="shared" si="46"/>
        <v>661.62881461711515</v>
      </c>
      <c r="J54" s="45">
        <f t="shared" si="46"/>
        <v>643.48875243623706</v>
      </c>
      <c r="K54" s="45">
        <f t="shared" si="46"/>
        <v>625.71415921576988</v>
      </c>
      <c r="L54" s="45">
        <f t="shared" si="46"/>
        <v>608.51850608958682</v>
      </c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35">
      <c r="A55" s="34" t="s">
        <v>70</v>
      </c>
      <c r="B55" s="49">
        <f>NPV(B52,C49:L49)+B49</f>
        <v>-3395.8582941704863</v>
      </c>
      <c r="C55" s="45">
        <f>SUM(B54:L54)</f>
        <v>-3395.8582941704863</v>
      </c>
      <c r="D55" s="45"/>
      <c r="E55" s="45"/>
      <c r="F55" s="45"/>
      <c r="G55" s="45"/>
      <c r="H55" s="45"/>
      <c r="I55" s="45"/>
      <c r="J55" s="45"/>
      <c r="K55" s="45"/>
      <c r="L55" s="45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35">
      <c r="A56" s="34" t="s">
        <v>58</v>
      </c>
      <c r="B56" s="76">
        <f>+L51/L53</f>
        <v>10446.234354537908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35">
      <c r="A57" s="34" t="s">
        <v>22</v>
      </c>
      <c r="B57" s="50">
        <f>+B55+B56</f>
        <v>7050.3760603674218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77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35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s="33" customFormat="1" ht="14" x14ac:dyDescent="0.3"/>
    <row r="60" spans="1:27" s="33" customFormat="1" ht="14" x14ac:dyDescent="0.3">
      <c r="A60" s="40" t="s">
        <v>28</v>
      </c>
    </row>
    <row r="61" spans="1:27" s="33" customFormat="1" ht="14" x14ac:dyDescent="0.3">
      <c r="B61" s="12">
        <v>2010</v>
      </c>
      <c r="C61" s="13">
        <f>B61+1</f>
        <v>2011</v>
      </c>
      <c r="D61" s="13">
        <f t="shared" ref="D61" si="47">C61+1</f>
        <v>2012</v>
      </c>
      <c r="E61" s="13">
        <f t="shared" ref="E61" si="48">D61+1</f>
        <v>2013</v>
      </c>
      <c r="F61" s="13">
        <f t="shared" ref="F61" si="49">E61+1</f>
        <v>2014</v>
      </c>
      <c r="G61" s="13">
        <f t="shared" ref="G61" si="50">F61+1</f>
        <v>2015</v>
      </c>
      <c r="H61" s="13">
        <f t="shared" ref="H61" si="51">G61+1</f>
        <v>2016</v>
      </c>
      <c r="I61" s="13">
        <f t="shared" ref="I61" si="52">H61+1</f>
        <v>2017</v>
      </c>
      <c r="J61" s="13">
        <f t="shared" ref="J61" si="53">I61+1</f>
        <v>2018</v>
      </c>
      <c r="K61" s="13">
        <f t="shared" ref="K61" si="54">J61+1</f>
        <v>2019</v>
      </c>
      <c r="L61" s="14">
        <f t="shared" ref="L61" si="55">K61+1</f>
        <v>2020</v>
      </c>
    </row>
    <row r="62" spans="1:27" s="33" customFormat="1" ht="14" x14ac:dyDescent="0.3">
      <c r="A62" s="33" t="s">
        <v>29</v>
      </c>
      <c r="B62" s="45">
        <f t="shared" ref="B62:K62" si="56">B49</f>
        <v>-5330.6</v>
      </c>
      <c r="C62" s="45">
        <f t="shared" si="56"/>
        <v>-1261</v>
      </c>
      <c r="D62" s="45">
        <f t="shared" si="56"/>
        <v>306.11933527958701</v>
      </c>
      <c r="E62" s="45">
        <f t="shared" si="56"/>
        <v>-308.33478020663955</v>
      </c>
      <c r="F62" s="45">
        <f t="shared" si="56"/>
        <v>-1196.4025375039107</v>
      </c>
      <c r="G62" s="45">
        <f t="shared" si="56"/>
        <v>1076.9377065202732</v>
      </c>
      <c r="H62" s="45">
        <f t="shared" si="56"/>
        <v>1140.9895929028069</v>
      </c>
      <c r="I62" s="45">
        <f t="shared" si="56"/>
        <v>1209.4833565796605</v>
      </c>
      <c r="J62" s="45">
        <f t="shared" si="56"/>
        <v>1282.1916484522753</v>
      </c>
      <c r="K62" s="45">
        <f t="shared" si="56"/>
        <v>1358.9843772526265</v>
      </c>
      <c r="L62" s="45">
        <f>L49+L51</f>
        <v>26170.620353842842</v>
      </c>
    </row>
    <row r="63" spans="1:27" s="33" customFormat="1" ht="14" x14ac:dyDescent="0.3">
      <c r="A63" s="33" t="s">
        <v>30</v>
      </c>
      <c r="B63" s="78">
        <f>IRR(B62:L62, 0.2)</f>
        <v>0.1787495268176682</v>
      </c>
    </row>
    <row r="64" spans="1:27" s="33" customFormat="1" ht="14" x14ac:dyDescent="0.3"/>
    <row r="65" spans="1:12" s="33" customFormat="1" ht="14" x14ac:dyDescent="0.3">
      <c r="A65" s="40" t="s">
        <v>31</v>
      </c>
    </row>
    <row r="66" spans="1:12" s="33" customFormat="1" ht="14" x14ac:dyDescent="0.3">
      <c r="B66" s="12">
        <v>2010</v>
      </c>
      <c r="C66" s="13">
        <f>B66+1</f>
        <v>2011</v>
      </c>
      <c r="D66" s="13">
        <f t="shared" ref="D66" si="57">C66+1</f>
        <v>2012</v>
      </c>
      <c r="E66" s="13">
        <f t="shared" ref="E66" si="58">D66+1</f>
        <v>2013</v>
      </c>
      <c r="F66" s="13">
        <f t="shared" ref="F66" si="59">E66+1</f>
        <v>2014</v>
      </c>
      <c r="G66" s="13">
        <f t="shared" ref="G66" si="60">F66+1</f>
        <v>2015</v>
      </c>
      <c r="H66" s="13">
        <f t="shared" ref="H66" si="61">G66+1</f>
        <v>2016</v>
      </c>
      <c r="I66" s="13">
        <f t="shared" ref="I66" si="62">H66+1</f>
        <v>2017</v>
      </c>
      <c r="J66" s="13">
        <f t="shared" ref="J66" si="63">I66+1</f>
        <v>2018</v>
      </c>
      <c r="K66" s="13">
        <f t="shared" ref="K66" si="64">J66+1</f>
        <v>2019</v>
      </c>
      <c r="L66" s="14">
        <f t="shared" ref="L66" si="65">K66+1</f>
        <v>2020</v>
      </c>
    </row>
    <row r="67" spans="1:12" s="33" customFormat="1" ht="14" x14ac:dyDescent="0.3">
      <c r="A67" s="33" t="s">
        <v>32</v>
      </c>
      <c r="B67" s="45">
        <f>B62</f>
        <v>-5330.6</v>
      </c>
      <c r="C67" s="45">
        <f t="shared" ref="C67:L67" si="66">C62</f>
        <v>-1261</v>
      </c>
      <c r="D67" s="45">
        <f t="shared" si="66"/>
        <v>306.11933527958701</v>
      </c>
      <c r="E67" s="45">
        <f t="shared" si="66"/>
        <v>-308.33478020663955</v>
      </c>
      <c r="F67" s="45">
        <f t="shared" si="66"/>
        <v>-1196.4025375039107</v>
      </c>
      <c r="G67" s="45">
        <f t="shared" si="66"/>
        <v>1076.9377065202732</v>
      </c>
      <c r="H67" s="45">
        <f t="shared" si="66"/>
        <v>1140.9895929028069</v>
      </c>
      <c r="I67" s="45">
        <f t="shared" si="66"/>
        <v>1209.4833565796605</v>
      </c>
      <c r="J67" s="45">
        <f t="shared" si="66"/>
        <v>1282.1916484522753</v>
      </c>
      <c r="K67" s="45">
        <f t="shared" si="66"/>
        <v>1358.9843772526265</v>
      </c>
      <c r="L67" s="45">
        <f t="shared" si="66"/>
        <v>26170.620353842842</v>
      </c>
    </row>
    <row r="68" spans="1:12" s="33" customFormat="1" ht="14" x14ac:dyDescent="0.3">
      <c r="A68" s="33" t="s">
        <v>33</v>
      </c>
      <c r="B68" s="45">
        <f>B67</f>
        <v>-5330.6</v>
      </c>
      <c r="C68" s="45">
        <f>B68+C67</f>
        <v>-6591.6</v>
      </c>
      <c r="D68" s="45">
        <f t="shared" ref="D68:L68" si="67">C68+D67</f>
        <v>-6285.4806647204132</v>
      </c>
      <c r="E68" s="45">
        <f t="shared" si="67"/>
        <v>-6593.8154449270523</v>
      </c>
      <c r="F68" s="45">
        <f t="shared" si="67"/>
        <v>-7790.2179824309633</v>
      </c>
      <c r="G68" s="45">
        <f t="shared" si="67"/>
        <v>-6713.2802759106899</v>
      </c>
      <c r="H68" s="45">
        <f t="shared" si="67"/>
        <v>-5572.2906830078828</v>
      </c>
      <c r="I68" s="45">
        <f t="shared" si="67"/>
        <v>-4362.807326428222</v>
      </c>
      <c r="J68" s="45">
        <f t="shared" si="67"/>
        <v>-3080.6156779759467</v>
      </c>
      <c r="K68" s="45">
        <f t="shared" si="67"/>
        <v>-1721.6313007233202</v>
      </c>
      <c r="L68" s="45">
        <f t="shared" si="67"/>
        <v>24448.98905311952</v>
      </c>
    </row>
    <row r="69" spans="1:12" s="33" customFormat="1" ht="14" x14ac:dyDescent="0.3">
      <c r="A69" s="34" t="s">
        <v>34</v>
      </c>
      <c r="B69" s="58" t="str">
        <f t="shared" ref="B69:I69" si="68">IF(B68&lt;0,"",IF(A68&gt;0,"",+B66-1-$B$66-A68/(B68-A68)))</f>
        <v/>
      </c>
      <c r="C69" s="58" t="str">
        <f t="shared" si="68"/>
        <v/>
      </c>
      <c r="D69" s="58" t="str">
        <f t="shared" si="68"/>
        <v/>
      </c>
      <c r="E69" s="58" t="str">
        <f t="shared" si="68"/>
        <v/>
      </c>
      <c r="F69" s="58" t="str">
        <f t="shared" si="68"/>
        <v/>
      </c>
      <c r="G69" s="58" t="str">
        <f t="shared" si="68"/>
        <v/>
      </c>
      <c r="H69" s="58" t="str">
        <f t="shared" si="68"/>
        <v/>
      </c>
      <c r="I69" s="58" t="str">
        <f t="shared" si="68"/>
        <v/>
      </c>
      <c r="J69" s="58" t="str">
        <f>IF(J68&lt;0,"",IF(I68&gt;0,"",+J66-1-$B$66-I68/(J68-I68)))</f>
        <v/>
      </c>
      <c r="K69" s="58" t="str">
        <f t="shared" ref="K69:L69" si="69">IF(K68&lt;0,"",IF(J68&gt;0,"",+K66-1-$B$66-J68/(K68-J68)))</f>
        <v/>
      </c>
      <c r="L69" s="58">
        <f t="shared" si="69"/>
        <v>9.0657848869245665</v>
      </c>
    </row>
    <row r="70" spans="1:12" s="33" customFormat="1" ht="14" x14ac:dyDescent="0.3"/>
    <row r="71" spans="1:12" s="33" customFormat="1" ht="14" x14ac:dyDescent="0.3">
      <c r="A71" s="34" t="s">
        <v>50</v>
      </c>
      <c r="B71" s="49">
        <f>SUM(C19:G19)+SUM(C14:G14)</f>
        <v>8777.7008000000005</v>
      </c>
    </row>
    <row r="72" spans="1:12" s="33" customFormat="1" ht="14" x14ac:dyDescent="0.3"/>
    <row r="73" spans="1:12" s="33" customFormat="1" ht="14" x14ac:dyDescent="0.3">
      <c r="A73" s="40" t="s">
        <v>36</v>
      </c>
    </row>
    <row r="74" spans="1:12" s="33" customFormat="1" ht="14" x14ac:dyDescent="0.3">
      <c r="A74" s="68" t="s">
        <v>37</v>
      </c>
      <c r="B74" s="79">
        <f>1+B57/-B49</f>
        <v>2.3226233557887332</v>
      </c>
      <c r="D74" s="77"/>
    </row>
    <row r="75" spans="1:12" s="33" customFormat="1" ht="14" x14ac:dyDescent="0.3"/>
    <row r="76" spans="1:12" s="33" customFormat="1" ht="14" x14ac:dyDescent="0.3">
      <c r="D76" s="82"/>
      <c r="E76" s="82" t="s">
        <v>39</v>
      </c>
      <c r="F76" s="82"/>
      <c r="G76" s="82"/>
    </row>
    <row r="77" spans="1:12" x14ac:dyDescent="0.35">
      <c r="B77" s="80"/>
      <c r="C77" s="81">
        <f>+B57</f>
        <v>7050.3760603674218</v>
      </c>
      <c r="D77" s="62">
        <v>0</v>
      </c>
      <c r="E77" s="62">
        <v>0.01</v>
      </c>
      <c r="F77" s="62">
        <v>0.02</v>
      </c>
      <c r="G77" s="62">
        <v>0.03</v>
      </c>
    </row>
    <row r="78" spans="1:12" ht="17" customHeight="1" x14ac:dyDescent="0.35">
      <c r="B78" s="85" t="s">
        <v>38</v>
      </c>
      <c r="C78" s="63">
        <v>7.6999999999999999E-2</v>
      </c>
      <c r="D78" s="52">
        <f t="dataTable" ref="D78:G80" dt2D="1" dtr="1" r1="B50" r2="B52"/>
        <v>5822.0913339812087</v>
      </c>
      <c r="E78" s="52">
        <v>7254.384475271605</v>
      </c>
      <c r="F78" s="52">
        <v>9189.2366135060056</v>
      </c>
      <c r="G78" s="52">
        <v>11947.430087159295</v>
      </c>
    </row>
    <row r="79" spans="1:12" ht="17" customHeight="1" x14ac:dyDescent="0.35">
      <c r="B79" s="85"/>
      <c r="C79" s="63">
        <v>8.4000000000000005E-2</v>
      </c>
      <c r="D79" s="52">
        <v>4397.0949180815587</v>
      </c>
      <c r="E79" s="52">
        <v>5518.5044007861816</v>
      </c>
      <c r="F79" s="52">
        <v>6990.3543468360022</v>
      </c>
      <c r="G79" s="52">
        <v>9007.3339025339028</v>
      </c>
    </row>
    <row r="80" spans="1:12" ht="17" customHeight="1" x14ac:dyDescent="0.35">
      <c r="B80" s="85"/>
      <c r="C80" s="63">
        <v>0.09</v>
      </c>
      <c r="D80" s="52">
        <v>3365.4584401582561</v>
      </c>
      <c r="E80" s="52">
        <v>4286.6878452105466</v>
      </c>
      <c r="F80" s="52">
        <v>5471.1256517063503</v>
      </c>
      <c r="G80" s="53">
        <v>7050.3760603674218</v>
      </c>
    </row>
    <row r="83" spans="1:12" x14ac:dyDescent="0.35">
      <c r="A83" s="34" t="s">
        <v>82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x14ac:dyDescent="0.35">
      <c r="A84" s="33"/>
      <c r="B84" s="12">
        <v>2010</v>
      </c>
      <c r="C84" s="13">
        <f>B84+1</f>
        <v>2011</v>
      </c>
      <c r="D84" s="13">
        <f t="shared" ref="D84:L84" si="70">C84+1</f>
        <v>2012</v>
      </c>
      <c r="E84" s="13">
        <f t="shared" si="70"/>
        <v>2013</v>
      </c>
      <c r="F84" s="13">
        <f t="shared" si="70"/>
        <v>2014</v>
      </c>
      <c r="G84" s="13">
        <f t="shared" si="70"/>
        <v>2015</v>
      </c>
      <c r="H84" s="13">
        <f t="shared" si="70"/>
        <v>2016</v>
      </c>
      <c r="I84" s="13">
        <f t="shared" si="70"/>
        <v>2017</v>
      </c>
      <c r="J84" s="13">
        <f t="shared" si="70"/>
        <v>2018</v>
      </c>
      <c r="K84" s="13">
        <f t="shared" si="70"/>
        <v>2019</v>
      </c>
      <c r="L84" s="14">
        <f t="shared" si="70"/>
        <v>2020</v>
      </c>
    </row>
    <row r="85" spans="1:12" x14ac:dyDescent="0.35">
      <c r="A85" s="33" t="s">
        <v>76</v>
      </c>
      <c r="B85" s="11">
        <f>+B29</f>
        <v>4610</v>
      </c>
      <c r="C85" s="11">
        <f>+B85+C29</f>
        <v>4610</v>
      </c>
      <c r="D85" s="11">
        <f t="shared" ref="D85:L85" si="71">+C85+D29</f>
        <v>4919.7</v>
      </c>
      <c r="E85" s="11">
        <f t="shared" si="71"/>
        <v>5229.3999999999996</v>
      </c>
      <c r="F85" s="11">
        <f t="shared" si="71"/>
        <v>7420.9</v>
      </c>
      <c r="G85" s="11">
        <f t="shared" si="71"/>
        <v>8246.6</v>
      </c>
      <c r="H85" s="11">
        <f t="shared" si="71"/>
        <v>9121.9</v>
      </c>
      <c r="I85" s="11">
        <f t="shared" si="71"/>
        <v>10049.699999999999</v>
      </c>
      <c r="J85" s="11">
        <f t="shared" si="71"/>
        <v>11033.099999999999</v>
      </c>
      <c r="K85" s="11">
        <f t="shared" si="71"/>
        <v>12075.599999999999</v>
      </c>
      <c r="L85" s="11">
        <f t="shared" si="71"/>
        <v>13180.599999999999</v>
      </c>
    </row>
    <row r="86" spans="1:12" x14ac:dyDescent="0.35">
      <c r="A86" s="33" t="s">
        <v>77</v>
      </c>
      <c r="B86" s="11">
        <f>+B14</f>
        <v>0</v>
      </c>
      <c r="C86" s="11">
        <f>+B86+C14</f>
        <v>0</v>
      </c>
      <c r="D86" s="11">
        <f t="shared" ref="D86:L86" si="72">+C86+D14</f>
        <v>309.7</v>
      </c>
      <c r="E86" s="11">
        <f t="shared" si="72"/>
        <v>619.4</v>
      </c>
      <c r="F86" s="11">
        <f t="shared" si="72"/>
        <v>929.09999999999991</v>
      </c>
      <c r="G86" s="11">
        <f t="shared" si="72"/>
        <v>1365.3</v>
      </c>
      <c r="H86" s="11">
        <f t="shared" si="72"/>
        <v>1827.6999999999998</v>
      </c>
      <c r="I86" s="11">
        <f t="shared" si="72"/>
        <v>2317.7999999999997</v>
      </c>
      <c r="J86" s="11">
        <f t="shared" si="72"/>
        <v>2837.2999999999997</v>
      </c>
      <c r="K86" s="11">
        <f t="shared" si="72"/>
        <v>3388</v>
      </c>
      <c r="L86" s="11">
        <f t="shared" si="72"/>
        <v>3971.8</v>
      </c>
    </row>
    <row r="87" spans="1:12" x14ac:dyDescent="0.35">
      <c r="A87" s="33" t="s">
        <v>78</v>
      </c>
      <c r="B87" s="11">
        <f>+B85-B86</f>
        <v>4610</v>
      </c>
      <c r="C87" s="11">
        <f t="shared" ref="C87:L87" si="73">+C85-C86</f>
        <v>4610</v>
      </c>
      <c r="D87" s="11">
        <f t="shared" si="73"/>
        <v>4610</v>
      </c>
      <c r="E87" s="11">
        <f t="shared" si="73"/>
        <v>4610</v>
      </c>
      <c r="F87" s="11">
        <f t="shared" si="73"/>
        <v>6491.7999999999993</v>
      </c>
      <c r="G87" s="11">
        <f t="shared" si="73"/>
        <v>6881.3</v>
      </c>
      <c r="H87" s="11">
        <f t="shared" si="73"/>
        <v>7294.2</v>
      </c>
      <c r="I87" s="11">
        <f t="shared" si="73"/>
        <v>7731.9</v>
      </c>
      <c r="J87" s="11">
        <f t="shared" si="73"/>
        <v>8195.7999999999993</v>
      </c>
      <c r="K87" s="11">
        <f t="shared" si="73"/>
        <v>8687.5999999999985</v>
      </c>
      <c r="L87" s="11">
        <f t="shared" si="73"/>
        <v>9208.7999999999993</v>
      </c>
    </row>
    <row r="88" spans="1:12" x14ac:dyDescent="0.35">
      <c r="A88" s="33" t="s">
        <v>79</v>
      </c>
      <c r="B88" s="11">
        <f>+B38</f>
        <v>0</v>
      </c>
      <c r="C88" s="11">
        <f t="shared" ref="C88:L88" si="74">+C38</f>
        <v>1000</v>
      </c>
      <c r="D88" s="11">
        <f t="shared" si="74"/>
        <v>1024.0606647204131</v>
      </c>
      <c r="E88" s="11">
        <f t="shared" si="74"/>
        <v>2408.9754449270522</v>
      </c>
      <c r="F88" s="11">
        <f t="shared" si="74"/>
        <v>3357.785982430963</v>
      </c>
      <c r="G88" s="11">
        <f t="shared" si="74"/>
        <v>3558.82075591069</v>
      </c>
      <c r="H88" s="11">
        <f t="shared" si="74"/>
        <v>3772.3523918078827</v>
      </c>
      <c r="I88" s="11">
        <f t="shared" si="74"/>
        <v>3998.6991377562222</v>
      </c>
      <c r="J88" s="11">
        <f t="shared" si="74"/>
        <v>4238.6309979836269</v>
      </c>
      <c r="K88" s="11">
        <f t="shared" si="74"/>
        <v>4492.9391399314627</v>
      </c>
      <c r="L88" s="11">
        <f t="shared" si="74"/>
        <v>4762.5274036503997</v>
      </c>
    </row>
    <row r="89" spans="1:12" x14ac:dyDescent="0.35">
      <c r="A89" s="33" t="s">
        <v>80</v>
      </c>
      <c r="B89" s="11">
        <f>+B87+B88</f>
        <v>4610</v>
      </c>
      <c r="C89" s="11">
        <f t="shared" ref="C89:L89" si="75">+C87+C88</f>
        <v>5610</v>
      </c>
      <c r="D89" s="11">
        <f t="shared" si="75"/>
        <v>5634.0606647204131</v>
      </c>
      <c r="E89" s="11">
        <f t="shared" si="75"/>
        <v>7018.9754449270522</v>
      </c>
      <c r="F89" s="11">
        <f t="shared" si="75"/>
        <v>9849.5859824309628</v>
      </c>
      <c r="G89" s="11">
        <f t="shared" si="75"/>
        <v>10440.12075591069</v>
      </c>
      <c r="H89" s="11">
        <f t="shared" si="75"/>
        <v>11066.552391807883</v>
      </c>
      <c r="I89" s="11">
        <f t="shared" si="75"/>
        <v>11730.599137756222</v>
      </c>
      <c r="J89" s="11">
        <f t="shared" si="75"/>
        <v>12434.430997983625</v>
      </c>
      <c r="K89" s="11">
        <f t="shared" si="75"/>
        <v>13180.539139931461</v>
      </c>
      <c r="L89" s="11">
        <f t="shared" si="75"/>
        <v>13971.327403650399</v>
      </c>
    </row>
    <row r="90" spans="1:12" x14ac:dyDescent="0.35">
      <c r="A90" s="3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x14ac:dyDescent="0.35">
      <c r="A91" s="33" t="s">
        <v>81</v>
      </c>
      <c r="B91" s="77">
        <f>+L89/L53</f>
        <v>5901.6396819798156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 x14ac:dyDescent="0.35">
      <c r="A92" s="34" t="s">
        <v>70</v>
      </c>
      <c r="B92" s="77">
        <f>+B55</f>
        <v>-3395.8582941704863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x14ac:dyDescent="0.35">
      <c r="A93" s="33" t="s">
        <v>69</v>
      </c>
      <c r="B93" s="77">
        <f>+B91+B92</f>
        <v>2505.7813878093293</v>
      </c>
      <c r="C93" s="33"/>
      <c r="D93" s="33"/>
      <c r="E93" s="33"/>
      <c r="F93" s="33"/>
      <c r="G93" s="33"/>
      <c r="H93" s="33"/>
      <c r="I93" s="33"/>
      <c r="J93" s="33"/>
      <c r="K93" s="33"/>
      <c r="L93" s="11"/>
    </row>
    <row r="96" spans="1:12" x14ac:dyDescent="0.35">
      <c r="D96" s="7" t="s">
        <v>45</v>
      </c>
    </row>
    <row r="97" spans="3:4" x14ac:dyDescent="0.35">
      <c r="D97" s="7" t="s">
        <v>43</v>
      </c>
    </row>
    <row r="98" spans="3:4" x14ac:dyDescent="0.35">
      <c r="D98" s="7" t="s">
        <v>44</v>
      </c>
    </row>
    <row r="99" spans="3:4" x14ac:dyDescent="0.35">
      <c r="D99" s="83">
        <f>+B93</f>
        <v>2505.7813878093293</v>
      </c>
    </row>
    <row r="100" spans="3:4" x14ac:dyDescent="0.35">
      <c r="C100" s="63">
        <v>7.6999999999999999E-2</v>
      </c>
      <c r="D100" s="6">
        <f t="dataTable" ref="D100:D102" dt2D="0" dtr="0" r1="B52" ca="1"/>
        <v>3565.7852237215761</v>
      </c>
    </row>
    <row r="101" spans="3:4" x14ac:dyDescent="0.35">
      <c r="C101" s="63">
        <v>8.4000000000000005E-2</v>
      </c>
      <c r="D101" s="6">
        <v>2978.2728411849116</v>
      </c>
    </row>
    <row r="102" spans="3:4" x14ac:dyDescent="0.35">
      <c r="C102" s="63">
        <v>0.09</v>
      </c>
      <c r="D102" s="6">
        <v>2505.7813878093293</v>
      </c>
    </row>
  </sheetData>
  <mergeCells count="1">
    <mergeCell ref="B78:B80"/>
  </mergeCells>
  <pageMargins left="0.7" right="0.7" top="0.75" bottom="0.75" header="0.3" footer="0.3"/>
  <pageSetup scale="9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" sqref="A4"/>
    </sheetView>
  </sheetViews>
  <sheetFormatPr defaultRowHeight="14.5" x14ac:dyDescent="0.35"/>
  <cols>
    <col min="1" max="1" width="11.1796875" customWidth="1"/>
    <col min="6" max="6" width="4" customWidth="1"/>
  </cols>
  <sheetData>
    <row r="1" spans="1:8" ht="15.5" x14ac:dyDescent="0.35">
      <c r="A1" s="2" t="s">
        <v>10</v>
      </c>
    </row>
    <row r="2" spans="1:8" ht="15.5" x14ac:dyDescent="0.35">
      <c r="A2" s="2"/>
    </row>
    <row r="3" spans="1:8" ht="15.5" x14ac:dyDescent="0.35">
      <c r="A3" s="2" t="s">
        <v>41</v>
      </c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s="5" customFormat="1" ht="12" x14ac:dyDescent="0.3">
      <c r="A5" s="1"/>
      <c r="B5" s="1"/>
      <c r="C5" s="1"/>
      <c r="D5" s="1"/>
      <c r="E5" s="1"/>
      <c r="F5" s="1"/>
      <c r="G5" s="1"/>
      <c r="H5" s="1"/>
    </row>
    <row r="6" spans="1:8" s="5" customFormat="1" ht="12" x14ac:dyDescent="0.3">
      <c r="A6" s="1" t="s">
        <v>40</v>
      </c>
      <c r="B6" s="1"/>
      <c r="C6" s="1"/>
      <c r="D6" s="1"/>
      <c r="E6" s="1"/>
      <c r="F6" s="1"/>
      <c r="G6" s="7" t="s">
        <v>45</v>
      </c>
      <c r="H6" s="1"/>
    </row>
    <row r="7" spans="1:8" s="5" customFormat="1" ht="12" x14ac:dyDescent="0.3">
      <c r="A7" s="1"/>
      <c r="B7" s="1"/>
      <c r="C7" s="1"/>
      <c r="D7" s="1"/>
      <c r="E7" s="1"/>
      <c r="F7" s="1"/>
      <c r="G7" s="7" t="s">
        <v>43</v>
      </c>
      <c r="H7" s="1"/>
    </row>
    <row r="8" spans="1:8" s="5" customFormat="1" ht="12" x14ac:dyDescent="0.3">
      <c r="A8" s="1" t="s">
        <v>38</v>
      </c>
      <c r="B8" s="1"/>
      <c r="C8" s="1" t="s">
        <v>39</v>
      </c>
      <c r="D8" s="1"/>
      <c r="E8" s="1"/>
      <c r="F8" s="1"/>
      <c r="G8" s="7" t="s">
        <v>44</v>
      </c>
      <c r="H8" s="1"/>
    </row>
    <row r="9" spans="1:8" s="5" customFormat="1" ht="12" x14ac:dyDescent="0.3">
      <c r="A9" s="6">
        <f>+MMDC!B56</f>
        <v>7145.3193505498011</v>
      </c>
      <c r="B9" s="3">
        <v>0</v>
      </c>
      <c r="C9" s="3">
        <v>0.01</v>
      </c>
      <c r="D9" s="3">
        <v>0.02</v>
      </c>
      <c r="E9" s="3">
        <v>0.03</v>
      </c>
      <c r="G9" s="1">
        <f>+MMDC!B89</f>
        <v>2674.7607570693062</v>
      </c>
      <c r="H9" s="1"/>
    </row>
    <row r="10" spans="1:8" s="5" customFormat="1" ht="12" x14ac:dyDescent="0.3">
      <c r="A10" s="4">
        <v>7.6999999999999999E-2</v>
      </c>
      <c r="B10" s="6">
        <f>+MMDC!C75</f>
        <v>5284.9066534703634</v>
      </c>
      <c r="C10" s="6">
        <f>+MMDC!D75</f>
        <v>6136.5045285908818</v>
      </c>
      <c r="D10" s="6">
        <f>+MMDC!E75</f>
        <v>7286.9086756835131</v>
      </c>
      <c r="E10" s="6">
        <f>+MMDC!F75</f>
        <v>8926.846502390028</v>
      </c>
      <c r="F10" s="4"/>
      <c r="G10" s="6">
        <f>+MMDC!D96</f>
        <v>2998.2227591834298</v>
      </c>
      <c r="H10" s="1"/>
    </row>
    <row r="11" spans="1:8" s="5" customFormat="1" ht="12" x14ac:dyDescent="0.3">
      <c r="A11" s="4">
        <v>8.4000000000000005E-2</v>
      </c>
      <c r="B11" s="6">
        <f>+MMDC!C76</f>
        <v>4404.2116751892418</v>
      </c>
      <c r="C11" s="6">
        <f>+MMDC!D76</f>
        <v>5070.9675962228912</v>
      </c>
      <c r="D11" s="6">
        <f>+MMDC!E76</f>
        <v>5946.0847425795573</v>
      </c>
      <c r="E11" s="8">
        <f>+MMDC!F76</f>
        <v>7145.3193505498011</v>
      </c>
      <c r="F11" s="4"/>
      <c r="G11" s="6">
        <f>+MMDC!D97</f>
        <v>2674.7607570693062</v>
      </c>
      <c r="H11" s="1"/>
    </row>
    <row r="12" spans="1:8" s="5" customFormat="1" ht="12" x14ac:dyDescent="0.3">
      <c r="A12" s="4">
        <v>0.09</v>
      </c>
      <c r="B12" s="6">
        <f>+MMDC!C77</f>
        <v>3762.8778160571169</v>
      </c>
      <c r="C12" s="6">
        <f>+MMDC!D77</f>
        <v>4310.6127602699162</v>
      </c>
      <c r="D12" s="6">
        <f>+MMDC!E77</f>
        <v>5014.8434028292304</v>
      </c>
      <c r="E12" s="6">
        <f>+MMDC!F77</f>
        <v>5953.8175929083136</v>
      </c>
      <c r="F12" s="4"/>
      <c r="G12" s="6">
        <f>+MMDC!D98</f>
        <v>2413.4502414397316</v>
      </c>
      <c r="H12" s="1"/>
    </row>
    <row r="13" spans="1:8" s="5" customFormat="1" ht="12" x14ac:dyDescent="0.3">
      <c r="A13" s="1"/>
      <c r="B13" s="1"/>
      <c r="C13" s="1"/>
      <c r="D13" s="1"/>
      <c r="E13" s="1"/>
      <c r="F13" s="1"/>
      <c r="G13" s="1"/>
      <c r="H13" s="1"/>
    </row>
    <row r="14" spans="1:8" s="5" customFormat="1" ht="12" x14ac:dyDescent="0.3">
      <c r="A14" s="1"/>
      <c r="B14" s="1"/>
      <c r="C14" s="1"/>
      <c r="D14" s="1"/>
      <c r="E14" s="1"/>
      <c r="F14" s="1"/>
      <c r="G14" s="1"/>
      <c r="H14" s="1"/>
    </row>
    <row r="15" spans="1:8" s="5" customFormat="1" ht="12" x14ac:dyDescent="0.3">
      <c r="A15" s="1" t="s">
        <v>42</v>
      </c>
      <c r="B15" s="1"/>
      <c r="C15" s="1"/>
      <c r="D15" s="1"/>
      <c r="E15" s="1"/>
      <c r="F15" s="1"/>
      <c r="G15" s="1"/>
      <c r="H15" s="1"/>
    </row>
    <row r="16" spans="1:8" s="5" customFormat="1" ht="12" x14ac:dyDescent="0.3">
      <c r="A16" s="1"/>
      <c r="B16" s="1"/>
      <c r="C16" s="1"/>
      <c r="D16" s="1"/>
      <c r="E16" s="1"/>
      <c r="F16" s="1"/>
      <c r="G16" s="7" t="s">
        <v>45</v>
      </c>
      <c r="H16" s="1"/>
    </row>
    <row r="17" spans="1:8" s="5" customFormat="1" ht="12" x14ac:dyDescent="0.3">
      <c r="A17" s="1"/>
      <c r="B17" s="1"/>
      <c r="C17" s="1" t="s">
        <v>39</v>
      </c>
      <c r="D17" s="1"/>
      <c r="E17" s="1"/>
      <c r="F17" s="1"/>
      <c r="G17" s="7" t="s">
        <v>43</v>
      </c>
      <c r="H17" s="1"/>
    </row>
    <row r="18" spans="1:8" s="5" customFormat="1" ht="12" x14ac:dyDescent="0.3">
      <c r="A18" s="1" t="s">
        <v>38</v>
      </c>
      <c r="B18" s="3">
        <v>0</v>
      </c>
      <c r="C18" s="3">
        <v>0.01</v>
      </c>
      <c r="D18" s="3">
        <v>0.02</v>
      </c>
      <c r="E18" s="3">
        <v>0.03</v>
      </c>
      <c r="F18" s="1"/>
      <c r="G18" s="7" t="s">
        <v>44</v>
      </c>
      <c r="H18" s="1"/>
    </row>
    <row r="19" spans="1:8" s="5" customFormat="1" ht="12" x14ac:dyDescent="0.3">
      <c r="A19" s="4">
        <v>7.6999999999999999E-2</v>
      </c>
      <c r="B19" s="6">
        <f>+DYOD!D78</f>
        <v>5822.0913339812087</v>
      </c>
      <c r="C19" s="6">
        <f>+DYOD!E78</f>
        <v>7254.384475271605</v>
      </c>
      <c r="D19" s="6">
        <f>+DYOD!F78</f>
        <v>9189.2366135060056</v>
      </c>
      <c r="E19" s="6">
        <f>+DYOD!G78</f>
        <v>11947.430087159295</v>
      </c>
      <c r="F19" s="1"/>
      <c r="G19" s="6">
        <f>+DYOD!D100</f>
        <v>3565.7852237215761</v>
      </c>
      <c r="H19" s="1"/>
    </row>
    <row r="20" spans="1:8" s="5" customFormat="1" ht="12" x14ac:dyDescent="0.3">
      <c r="A20" s="4">
        <v>8.4000000000000005E-2</v>
      </c>
      <c r="B20" s="6">
        <f>+DYOD!D79</f>
        <v>4397.0949180815587</v>
      </c>
      <c r="C20" s="6">
        <f>+DYOD!E79</f>
        <v>5518.5044007861816</v>
      </c>
      <c r="D20" s="6">
        <f>+DYOD!F79</f>
        <v>6990.3543468360022</v>
      </c>
      <c r="E20" s="6">
        <f>+DYOD!G79</f>
        <v>9007.3339025339028</v>
      </c>
      <c r="F20" s="1"/>
      <c r="G20" s="6">
        <f>+DYOD!D101</f>
        <v>2978.2728411849116</v>
      </c>
      <c r="H20" s="1"/>
    </row>
    <row r="21" spans="1:8" s="5" customFormat="1" ht="12" x14ac:dyDescent="0.3">
      <c r="A21" s="4">
        <v>0.09</v>
      </c>
      <c r="B21" s="6">
        <f>+DYOD!D80</f>
        <v>3365.4584401582561</v>
      </c>
      <c r="C21" s="6">
        <f>+DYOD!E80</f>
        <v>4286.6878452105466</v>
      </c>
      <c r="D21" s="6">
        <f>+DYOD!F80</f>
        <v>5471.1256517063503</v>
      </c>
      <c r="E21" s="8">
        <f>+DYOD!G80</f>
        <v>7050.3760603674218</v>
      </c>
      <c r="F21" s="1"/>
      <c r="G21" s="6">
        <f>+DYOD!D102</f>
        <v>2505.7813878093293</v>
      </c>
      <c r="H21" s="1"/>
    </row>
    <row r="22" spans="1:8" s="5" customFormat="1" ht="12" x14ac:dyDescent="0.3">
      <c r="A22" s="1"/>
      <c r="B22" s="1"/>
      <c r="C22" s="1"/>
      <c r="D22" s="1"/>
      <c r="E22" s="1"/>
      <c r="F22" s="1"/>
      <c r="G22" s="1"/>
      <c r="H22" s="1"/>
    </row>
    <row r="23" spans="1:8" s="5" customFormat="1" ht="12" x14ac:dyDescent="0.3">
      <c r="A23" s="1"/>
      <c r="B23" s="1"/>
      <c r="C23" s="1"/>
      <c r="D23" s="1"/>
      <c r="E23" s="1"/>
      <c r="F23" s="1"/>
      <c r="G23" s="1"/>
      <c r="H23" s="1"/>
    </row>
    <row r="24" spans="1:8" s="5" customFormat="1" ht="12" x14ac:dyDescent="0.3">
      <c r="A24" s="1"/>
      <c r="B24" s="1"/>
      <c r="C24" s="1"/>
      <c r="D24" s="1"/>
      <c r="E24" s="1"/>
      <c r="F24" s="1"/>
      <c r="G24" s="1"/>
      <c r="H24" s="1"/>
    </row>
    <row r="25" spans="1:8" s="5" customFormat="1" ht="12" x14ac:dyDescent="0.3">
      <c r="A25" s="1"/>
      <c r="B25" s="1"/>
      <c r="C25" s="1"/>
      <c r="D25" s="1"/>
      <c r="E25" s="9"/>
      <c r="F25" s="1"/>
      <c r="G25" s="1"/>
      <c r="H25" s="1"/>
    </row>
    <row r="26" spans="1:8" s="5" customFormat="1" ht="12" x14ac:dyDescent="0.3">
      <c r="A26" s="1"/>
      <c r="B26" s="1"/>
      <c r="C26" s="1"/>
      <c r="D26" s="1"/>
      <c r="E26" s="1"/>
      <c r="F26" s="1"/>
      <c r="G26" s="1"/>
      <c r="H26" s="1"/>
    </row>
    <row r="27" spans="1:8" s="5" customFormat="1" ht="12" x14ac:dyDescent="0.3">
      <c r="A27" s="1"/>
      <c r="B27" s="1"/>
      <c r="C27" s="1"/>
      <c r="D27" s="1"/>
      <c r="E27" s="1"/>
      <c r="F27" s="1"/>
      <c r="G27" s="1"/>
      <c r="H27" s="1"/>
    </row>
    <row r="28" spans="1:8" s="5" customFormat="1" ht="12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5">
      <c r="A29" s="1"/>
      <c r="B29" s="1"/>
      <c r="C29" s="1"/>
      <c r="D29" s="1"/>
      <c r="E29" s="1"/>
      <c r="F29" s="1"/>
      <c r="G29" s="1"/>
      <c r="H29" s="1"/>
    </row>
    <row r="30" spans="1:8" x14ac:dyDescent="0.35">
      <c r="A30" s="1"/>
      <c r="B30" s="1"/>
      <c r="C30" s="1"/>
      <c r="D30" s="1"/>
      <c r="E30" s="1"/>
      <c r="F30" s="1"/>
      <c r="G30" s="1"/>
      <c r="H30" s="1"/>
    </row>
    <row r="31" spans="1:8" x14ac:dyDescent="0.35">
      <c r="A31" s="1"/>
      <c r="B31" s="1"/>
      <c r="C31" s="1"/>
      <c r="D31" s="1"/>
      <c r="E31" s="1"/>
      <c r="F31" s="1"/>
      <c r="G31" s="1"/>
      <c r="H31" s="1"/>
    </row>
    <row r="32" spans="1:8" x14ac:dyDescent="0.35">
      <c r="A32" s="1"/>
      <c r="B32" s="1"/>
      <c r="C32" s="1"/>
      <c r="D32" s="1"/>
      <c r="E32" s="1"/>
      <c r="F32" s="1"/>
      <c r="G32" s="1"/>
      <c r="H32" s="1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1"/>
      <c r="B34" s="1"/>
      <c r="C34" s="1"/>
      <c r="D34" s="1"/>
      <c r="E34" s="1"/>
      <c r="F34" s="1"/>
      <c r="G34" s="1"/>
      <c r="H34" s="1"/>
    </row>
    <row r="35" spans="1:8" x14ac:dyDescent="0.35">
      <c r="A35" s="1"/>
      <c r="B35" s="1"/>
      <c r="C35" s="1"/>
      <c r="D35" s="1"/>
      <c r="E35" s="1"/>
      <c r="F35" s="1"/>
      <c r="G35" s="1"/>
      <c r="H35" s="1"/>
    </row>
    <row r="36" spans="1:8" x14ac:dyDescent="0.35">
      <c r="A36" s="1"/>
      <c r="B36" s="1"/>
      <c r="C36" s="1"/>
      <c r="D36" s="1"/>
      <c r="E36" s="1"/>
      <c r="F36" s="1"/>
      <c r="G36" s="1"/>
      <c r="H36" s="1"/>
    </row>
    <row r="37" spans="1:8" x14ac:dyDescent="0.35">
      <c r="A37" s="1"/>
      <c r="B37" s="1"/>
      <c r="C37" s="1"/>
      <c r="D37" s="1"/>
      <c r="E37" s="1"/>
      <c r="F37" s="1"/>
      <c r="G37" s="1"/>
      <c r="H37" s="1"/>
    </row>
    <row r="38" spans="1:8" x14ac:dyDescent="0.35">
      <c r="A38" s="1"/>
      <c r="B38" s="1"/>
      <c r="C38" s="1"/>
      <c r="D38" s="1"/>
      <c r="E38" s="1"/>
      <c r="F38" s="1"/>
      <c r="G38" s="1"/>
      <c r="H38" s="1"/>
    </row>
    <row r="39" spans="1:8" x14ac:dyDescent="0.35">
      <c r="A39" s="1"/>
      <c r="B39" s="1"/>
      <c r="C39" s="1"/>
      <c r="D39" s="1"/>
      <c r="E39" s="1"/>
      <c r="F39" s="1"/>
      <c r="G39" s="1"/>
      <c r="H39" s="1"/>
    </row>
    <row r="40" spans="1:8" x14ac:dyDescent="0.35">
      <c r="A40" s="1"/>
      <c r="B40" s="1"/>
      <c r="C40" s="1"/>
      <c r="D40" s="1"/>
      <c r="E40" s="1"/>
      <c r="F40" s="1"/>
      <c r="G40" s="1"/>
      <c r="H40" s="1"/>
    </row>
    <row r="41" spans="1:8" x14ac:dyDescent="0.35">
      <c r="A41" s="1"/>
      <c r="B41" s="1"/>
      <c r="C41" s="1"/>
      <c r="D41" s="1"/>
      <c r="E41" s="1"/>
      <c r="F41" s="1"/>
      <c r="G41" s="1"/>
      <c r="H41" s="1"/>
    </row>
    <row r="42" spans="1:8" x14ac:dyDescent="0.35">
      <c r="A42" s="1"/>
      <c r="B42" s="1"/>
      <c r="C42" s="1"/>
      <c r="D42" s="1"/>
      <c r="E42" s="1"/>
      <c r="F42" s="1"/>
      <c r="G42" s="1"/>
      <c r="H42" s="1"/>
    </row>
    <row r="43" spans="1:8" x14ac:dyDescent="0.35">
      <c r="A43" s="1"/>
      <c r="B43" s="1"/>
      <c r="C43" s="1"/>
      <c r="D43" s="1"/>
      <c r="E43" s="1"/>
      <c r="F43" s="1"/>
      <c r="G43" s="1"/>
      <c r="H43" s="1"/>
    </row>
    <row r="44" spans="1:8" x14ac:dyDescent="0.35">
      <c r="A44" s="1"/>
      <c r="B44" s="1"/>
      <c r="C44" s="1"/>
      <c r="D44" s="1"/>
      <c r="E44" s="1"/>
      <c r="F44" s="1"/>
      <c r="G44" s="1"/>
      <c r="H44" s="1"/>
    </row>
    <row r="45" spans="1:8" x14ac:dyDescent="0.35">
      <c r="A45" s="1"/>
      <c r="B45" s="1"/>
      <c r="C45" s="1"/>
      <c r="D45" s="1"/>
      <c r="E45" s="1"/>
      <c r="F45" s="1"/>
      <c r="G45" s="1"/>
      <c r="H45" s="1"/>
    </row>
    <row r="46" spans="1:8" x14ac:dyDescent="0.35">
      <c r="A46" s="1"/>
      <c r="B46" s="1"/>
      <c r="C46" s="1"/>
      <c r="D46" s="1"/>
      <c r="E46" s="1"/>
      <c r="F46" s="1"/>
      <c r="G46" s="1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  <row r="48" spans="1:8" x14ac:dyDescent="0.35">
      <c r="A48" s="1"/>
      <c r="B48" s="1"/>
      <c r="C48" s="1"/>
      <c r="D48" s="1"/>
      <c r="E48" s="1"/>
      <c r="F48" s="1"/>
      <c r="G48" s="1"/>
      <c r="H48" s="1"/>
    </row>
    <row r="49" spans="1:8" x14ac:dyDescent="0.35">
      <c r="A49" s="1"/>
      <c r="B49" s="1"/>
      <c r="C49" s="1"/>
      <c r="D49" s="1"/>
      <c r="E49" s="1"/>
      <c r="F49" s="1"/>
      <c r="G49" s="1"/>
      <c r="H49" s="1"/>
    </row>
    <row r="50" spans="1:8" x14ac:dyDescent="0.35">
      <c r="A50" s="1"/>
      <c r="B50" s="1"/>
      <c r="C50" s="1"/>
      <c r="D50" s="1"/>
      <c r="E50" s="1"/>
      <c r="F50" s="1"/>
      <c r="G50" s="1"/>
      <c r="H50" s="1"/>
    </row>
    <row r="51" spans="1:8" x14ac:dyDescent="0.35">
      <c r="A51" s="1"/>
      <c r="B51" s="1"/>
      <c r="C51" s="1"/>
      <c r="D51" s="1"/>
      <c r="E51" s="1"/>
      <c r="F51" s="1"/>
      <c r="G51" s="1"/>
      <c r="H51" s="1"/>
    </row>
    <row r="52" spans="1:8" x14ac:dyDescent="0.35">
      <c r="A52" s="1"/>
      <c r="B52" s="1"/>
      <c r="C52" s="1"/>
      <c r="D52" s="1"/>
      <c r="E52" s="1"/>
      <c r="F52" s="1"/>
      <c r="G52" s="1"/>
      <c r="H52" s="1"/>
    </row>
    <row r="53" spans="1:8" x14ac:dyDescent="0.35">
      <c r="A53" s="1"/>
      <c r="B53" s="1"/>
      <c r="C53" s="1"/>
      <c r="D53" s="1"/>
      <c r="E53" s="1"/>
      <c r="F53" s="1"/>
      <c r="G53" s="1"/>
      <c r="H53" s="1"/>
    </row>
    <row r="54" spans="1:8" x14ac:dyDescent="0.35">
      <c r="A54" s="1"/>
      <c r="B54" s="1"/>
      <c r="C54" s="1"/>
      <c r="D54" s="1"/>
      <c r="E54" s="1"/>
      <c r="F54" s="1"/>
      <c r="G54" s="1"/>
      <c r="H54" s="1"/>
    </row>
    <row r="55" spans="1:8" x14ac:dyDescent="0.35">
      <c r="A55" s="1"/>
      <c r="B55" s="1"/>
      <c r="C55" s="1"/>
      <c r="D55" s="1"/>
      <c r="E55" s="1"/>
      <c r="F55" s="1"/>
      <c r="G55" s="1"/>
      <c r="H55" s="1"/>
    </row>
    <row r="56" spans="1:8" x14ac:dyDescent="0.35">
      <c r="A56" s="1"/>
      <c r="B56" s="1"/>
      <c r="C56" s="1"/>
      <c r="D56" s="1"/>
      <c r="E56" s="1"/>
      <c r="F56" s="1"/>
      <c r="G56" s="1"/>
      <c r="H56" s="1"/>
    </row>
    <row r="57" spans="1:8" x14ac:dyDescent="0.35">
      <c r="A57" s="1"/>
      <c r="B57" s="1"/>
      <c r="C57" s="1"/>
      <c r="D57" s="1"/>
      <c r="E57" s="1"/>
      <c r="F57" s="1"/>
      <c r="G57" s="1"/>
      <c r="H57" s="1"/>
    </row>
    <row r="58" spans="1:8" x14ac:dyDescent="0.35">
      <c r="A58" s="1"/>
      <c r="B58" s="1"/>
      <c r="C58" s="1"/>
      <c r="D58" s="1"/>
      <c r="E58" s="1"/>
      <c r="F58" s="1"/>
      <c r="G58" s="1"/>
      <c r="H58" s="1"/>
    </row>
    <row r="59" spans="1:8" x14ac:dyDescent="0.35">
      <c r="A59" s="1"/>
      <c r="B59" s="1"/>
      <c r="C59" s="1"/>
      <c r="D59" s="1"/>
      <c r="E59" s="1"/>
      <c r="F59" s="1"/>
      <c r="G59" s="1"/>
      <c r="H59" s="1"/>
    </row>
    <row r="60" spans="1:8" x14ac:dyDescent="0.35">
      <c r="A60" s="1"/>
      <c r="B60" s="1"/>
      <c r="C60" s="1"/>
      <c r="D60" s="1"/>
      <c r="E60" s="1"/>
      <c r="F60" s="1"/>
      <c r="G60" s="1"/>
      <c r="H60" s="1"/>
    </row>
    <row r="61" spans="1:8" x14ac:dyDescent="0.35">
      <c r="A61" s="1"/>
      <c r="B61" s="1"/>
      <c r="C61" s="1"/>
      <c r="D61" s="1"/>
      <c r="E61" s="1"/>
      <c r="F61" s="1"/>
      <c r="G61" s="1"/>
      <c r="H61" s="1"/>
    </row>
    <row r="62" spans="1:8" x14ac:dyDescent="0.35">
      <c r="A62" s="1"/>
      <c r="B62" s="1"/>
      <c r="C62" s="1"/>
      <c r="D62" s="1"/>
      <c r="E62" s="1"/>
      <c r="F62" s="1"/>
      <c r="G62" s="1"/>
      <c r="H62" s="1"/>
    </row>
    <row r="63" spans="1:8" x14ac:dyDescent="0.35">
      <c r="A63" s="1"/>
      <c r="B63" s="1"/>
      <c r="C63" s="1"/>
      <c r="D63" s="1"/>
      <c r="E63" s="1"/>
      <c r="F63" s="1"/>
      <c r="G63" s="1"/>
      <c r="H63" s="1"/>
    </row>
    <row r="64" spans="1:8" x14ac:dyDescent="0.35">
      <c r="A64" s="1"/>
      <c r="B64" s="1"/>
      <c r="C64" s="1"/>
      <c r="D64" s="1"/>
      <c r="E64" s="1"/>
      <c r="F64" s="1"/>
      <c r="G64" s="1"/>
      <c r="H64" s="1"/>
    </row>
    <row r="65" spans="1:8" x14ac:dyDescent="0.35">
      <c r="A65" s="1"/>
      <c r="B65" s="1"/>
      <c r="C65" s="1"/>
      <c r="D65" s="1"/>
      <c r="E65" s="1"/>
      <c r="F65" s="1"/>
      <c r="G65" s="1"/>
      <c r="H65" s="1"/>
    </row>
    <row r="66" spans="1:8" x14ac:dyDescent="0.35">
      <c r="A66" s="1"/>
      <c r="B66" s="1"/>
      <c r="C66" s="1"/>
      <c r="D66" s="1"/>
      <c r="E66" s="1"/>
      <c r="F66" s="1"/>
      <c r="G66" s="1"/>
      <c r="H66" s="1"/>
    </row>
    <row r="67" spans="1:8" x14ac:dyDescent="0.35">
      <c r="A67" s="1"/>
      <c r="B67" s="1"/>
      <c r="C67" s="1"/>
      <c r="D67" s="1"/>
      <c r="E67" s="1"/>
      <c r="F67" s="1"/>
      <c r="G67" s="1"/>
      <c r="H67" s="1"/>
    </row>
    <row r="68" spans="1:8" x14ac:dyDescent="0.35">
      <c r="A68" s="1"/>
      <c r="B68" s="1"/>
      <c r="C68" s="1"/>
      <c r="D68" s="1"/>
      <c r="E68" s="1"/>
      <c r="F68" s="1"/>
      <c r="G68" s="1"/>
      <c r="H68" s="1"/>
    </row>
    <row r="69" spans="1:8" x14ac:dyDescent="0.35">
      <c r="A69" s="1"/>
      <c r="B69" s="1"/>
      <c r="C69" s="1"/>
      <c r="D69" s="1"/>
      <c r="E69" s="1"/>
      <c r="F69" s="1"/>
      <c r="G69" s="1"/>
      <c r="H69" s="1"/>
    </row>
    <row r="70" spans="1:8" x14ac:dyDescent="0.35">
      <c r="A70" s="1"/>
      <c r="B70" s="1"/>
      <c r="C70" s="1"/>
      <c r="D70" s="1"/>
      <c r="E70" s="1"/>
      <c r="F70" s="1"/>
      <c r="G70" s="1"/>
      <c r="H70" s="1"/>
    </row>
    <row r="71" spans="1:8" x14ac:dyDescent="0.35">
      <c r="A71" s="1"/>
      <c r="B71" s="1"/>
      <c r="C71" s="1"/>
      <c r="D71" s="1"/>
      <c r="E71" s="1"/>
      <c r="F71" s="1"/>
      <c r="G71" s="1"/>
      <c r="H71" s="1"/>
    </row>
    <row r="72" spans="1:8" x14ac:dyDescent="0.35">
      <c r="A72" s="1"/>
      <c r="B72" s="1"/>
      <c r="C72" s="1"/>
      <c r="D72" s="1"/>
      <c r="E72" s="1"/>
      <c r="F72" s="1"/>
      <c r="G72" s="1"/>
      <c r="H72" s="1"/>
    </row>
    <row r="73" spans="1:8" x14ac:dyDescent="0.35">
      <c r="A73" s="1"/>
      <c r="B73" s="1"/>
      <c r="C73" s="1"/>
      <c r="D73" s="1"/>
      <c r="E73" s="1"/>
      <c r="F73" s="1"/>
      <c r="G73" s="1"/>
      <c r="H73" s="1"/>
    </row>
    <row r="74" spans="1:8" x14ac:dyDescent="0.35">
      <c r="A74" s="1"/>
      <c r="B74" s="1"/>
      <c r="C74" s="1"/>
      <c r="D74" s="1"/>
      <c r="E74" s="1"/>
      <c r="F74" s="1"/>
      <c r="G74" s="1"/>
      <c r="H74" s="1"/>
    </row>
    <row r="75" spans="1:8" x14ac:dyDescent="0.35">
      <c r="A75" s="1"/>
      <c r="B75" s="1"/>
      <c r="C75" s="1"/>
      <c r="D75" s="1"/>
      <c r="E75" s="1"/>
      <c r="F75" s="1"/>
      <c r="G75" s="1"/>
      <c r="H75" s="1"/>
    </row>
    <row r="76" spans="1:8" x14ac:dyDescent="0.35">
      <c r="A76" s="1"/>
      <c r="B76" s="1"/>
      <c r="C76" s="1"/>
      <c r="D76" s="1"/>
      <c r="E76" s="1"/>
      <c r="F76" s="1"/>
      <c r="G76" s="1"/>
      <c r="H76" s="1"/>
    </row>
    <row r="77" spans="1:8" x14ac:dyDescent="0.35">
      <c r="A77" s="1"/>
      <c r="B77" s="1"/>
      <c r="C77" s="1"/>
      <c r="D77" s="1"/>
      <c r="E77" s="1"/>
      <c r="F77" s="1"/>
      <c r="G77" s="1"/>
      <c r="H77" s="1"/>
    </row>
    <row r="78" spans="1:8" x14ac:dyDescent="0.35">
      <c r="A78" s="1"/>
      <c r="B78" s="1"/>
      <c r="C78" s="1"/>
      <c r="D78" s="1"/>
      <c r="E78" s="1"/>
      <c r="F78" s="1"/>
      <c r="G78" s="1"/>
      <c r="H78" s="1"/>
    </row>
    <row r="79" spans="1:8" x14ac:dyDescent="0.35">
      <c r="A79" s="1"/>
      <c r="B79" s="1"/>
      <c r="C79" s="1"/>
      <c r="D79" s="1"/>
      <c r="E79" s="1"/>
      <c r="F79" s="1"/>
      <c r="G79" s="1"/>
      <c r="H79" s="1"/>
    </row>
    <row r="80" spans="1:8" x14ac:dyDescent="0.35">
      <c r="A80" s="1"/>
      <c r="B80" s="1"/>
      <c r="C80" s="1"/>
      <c r="D80" s="1"/>
      <c r="E80" s="1"/>
      <c r="F80" s="1"/>
      <c r="G80" s="1"/>
      <c r="H80" s="1"/>
    </row>
    <row r="81" spans="1:8" x14ac:dyDescent="0.35">
      <c r="A81" s="1"/>
      <c r="B81" s="1"/>
      <c r="C81" s="1"/>
      <c r="D81" s="1"/>
      <c r="E81" s="1"/>
      <c r="F81" s="1"/>
      <c r="G81" s="1"/>
      <c r="H81" s="1"/>
    </row>
    <row r="82" spans="1:8" x14ac:dyDescent="0.35">
      <c r="A82" s="1"/>
      <c r="B82" s="1"/>
      <c r="C82" s="1"/>
      <c r="D82" s="1"/>
      <c r="E82" s="1"/>
      <c r="F82" s="1"/>
      <c r="G82" s="1"/>
      <c r="H82" s="1"/>
    </row>
    <row r="83" spans="1:8" x14ac:dyDescent="0.35">
      <c r="A83" s="1"/>
      <c r="B83" s="1"/>
      <c r="C83" s="1"/>
      <c r="D83" s="1"/>
      <c r="E83" s="1"/>
      <c r="F83" s="1"/>
      <c r="G83" s="1"/>
      <c r="H83" s="1"/>
    </row>
    <row r="84" spans="1:8" x14ac:dyDescent="0.35">
      <c r="A84" s="1"/>
      <c r="B84" s="1"/>
      <c r="C84" s="1"/>
      <c r="D84" s="1"/>
      <c r="E84" s="1"/>
      <c r="F84" s="1"/>
      <c r="G84" s="1"/>
      <c r="H84" s="1"/>
    </row>
    <row r="85" spans="1:8" x14ac:dyDescent="0.35">
      <c r="A85" s="1"/>
      <c r="B85" s="1"/>
      <c r="C85" s="1"/>
      <c r="D85" s="1"/>
      <c r="E85" s="1"/>
      <c r="F85" s="1"/>
      <c r="G85" s="1"/>
      <c r="H85" s="1"/>
    </row>
    <row r="86" spans="1:8" x14ac:dyDescent="0.35">
      <c r="A86" s="1"/>
      <c r="B86" s="1"/>
      <c r="C86" s="1"/>
      <c r="D86" s="1"/>
      <c r="E86" s="1"/>
      <c r="F86" s="1"/>
      <c r="G86" s="1"/>
      <c r="H86" s="1"/>
    </row>
    <row r="87" spans="1:8" x14ac:dyDescent="0.35">
      <c r="A87" s="1"/>
      <c r="B87" s="1"/>
      <c r="C87" s="1"/>
      <c r="D87" s="1"/>
      <c r="E87" s="1"/>
      <c r="F87" s="1"/>
      <c r="G87" s="1"/>
      <c r="H87" s="1"/>
    </row>
    <row r="88" spans="1:8" x14ac:dyDescent="0.35">
      <c r="A88" s="1"/>
      <c r="B88" s="1"/>
      <c r="C88" s="1"/>
      <c r="D88" s="1"/>
      <c r="E88" s="1"/>
      <c r="F88" s="1"/>
      <c r="G88" s="1"/>
      <c r="H88" s="1"/>
    </row>
    <row r="89" spans="1:8" x14ac:dyDescent="0.35">
      <c r="A89" s="1"/>
      <c r="B89" s="1"/>
      <c r="C89" s="1"/>
      <c r="D89" s="1"/>
      <c r="E89" s="1"/>
      <c r="F89" s="1"/>
      <c r="G89" s="1"/>
      <c r="H89" s="1"/>
    </row>
    <row r="90" spans="1:8" x14ac:dyDescent="0.35">
      <c r="A90" s="1"/>
      <c r="B90" s="1"/>
      <c r="C90" s="1"/>
      <c r="D90" s="1"/>
      <c r="E90" s="1"/>
      <c r="F90" s="1"/>
      <c r="G90" s="1"/>
      <c r="H90" s="1"/>
    </row>
    <row r="91" spans="1:8" x14ac:dyDescent="0.35">
      <c r="A91" s="1"/>
      <c r="B91" s="1"/>
      <c r="C91" s="1"/>
      <c r="D91" s="1"/>
      <c r="E91" s="1"/>
      <c r="F91" s="1"/>
      <c r="G91" s="1"/>
      <c r="H91" s="1"/>
    </row>
    <row r="92" spans="1:8" x14ac:dyDescent="0.35">
      <c r="A92" s="1"/>
      <c r="B92" s="1"/>
      <c r="C92" s="1"/>
      <c r="D92" s="1"/>
      <c r="E92" s="1"/>
      <c r="F92" s="1"/>
      <c r="G92" s="1"/>
      <c r="H92" s="1"/>
    </row>
    <row r="93" spans="1:8" x14ac:dyDescent="0.35">
      <c r="A93" s="1"/>
      <c r="B93" s="1"/>
      <c r="C93" s="1"/>
      <c r="D93" s="1"/>
      <c r="E93" s="1"/>
      <c r="F93" s="1"/>
      <c r="G93" s="1"/>
      <c r="H93" s="1"/>
    </row>
    <row r="94" spans="1:8" x14ac:dyDescent="0.35">
      <c r="A94" s="1"/>
      <c r="B94" s="1"/>
      <c r="C94" s="1"/>
      <c r="D94" s="1"/>
      <c r="E94" s="1"/>
      <c r="F94" s="1"/>
      <c r="G94" s="1"/>
      <c r="H94" s="1"/>
    </row>
    <row r="95" spans="1:8" x14ac:dyDescent="0.35">
      <c r="A95" s="1"/>
      <c r="B95" s="1"/>
      <c r="C95" s="1"/>
      <c r="D95" s="1"/>
      <c r="E95" s="1"/>
      <c r="F95" s="1"/>
      <c r="G95" s="1"/>
      <c r="H95" s="1"/>
    </row>
    <row r="96" spans="1:8" x14ac:dyDescent="0.35">
      <c r="A96" s="1"/>
      <c r="B96" s="1"/>
      <c r="C96" s="1"/>
      <c r="D96" s="1"/>
      <c r="E96" s="1"/>
      <c r="F96" s="1"/>
      <c r="G96" s="1"/>
      <c r="H96" s="1"/>
    </row>
    <row r="97" spans="1:8" x14ac:dyDescent="0.35">
      <c r="A97" s="1"/>
      <c r="B97" s="1"/>
      <c r="C97" s="1"/>
      <c r="D97" s="1"/>
      <c r="E97" s="1"/>
      <c r="F97" s="1"/>
      <c r="G97" s="1"/>
      <c r="H97" s="1"/>
    </row>
    <row r="98" spans="1:8" x14ac:dyDescent="0.35">
      <c r="A98" s="1"/>
      <c r="B98" s="1"/>
      <c r="C98" s="1"/>
      <c r="D98" s="1"/>
      <c r="E98" s="1"/>
      <c r="F98" s="1"/>
      <c r="G98" s="1"/>
      <c r="H98" s="1"/>
    </row>
    <row r="99" spans="1:8" x14ac:dyDescent="0.35">
      <c r="A99" s="1"/>
      <c r="B99" s="1"/>
      <c r="C99" s="1"/>
      <c r="D99" s="1"/>
      <c r="E99" s="1"/>
      <c r="F99" s="1"/>
      <c r="G99" s="1"/>
      <c r="H99" s="1"/>
    </row>
    <row r="100" spans="1:8" x14ac:dyDescent="0.35">
      <c r="A100" s="1"/>
      <c r="B100" s="1"/>
      <c r="C100" s="1"/>
      <c r="D100" s="1"/>
      <c r="E100" s="1"/>
      <c r="F100" s="1"/>
      <c r="G100" s="1"/>
      <c r="H100" s="1"/>
    </row>
    <row r="101" spans="1:8" x14ac:dyDescent="0.35">
      <c r="A101" s="1"/>
      <c r="B101" s="1"/>
      <c r="C101" s="1"/>
      <c r="D101" s="1"/>
      <c r="E101" s="1"/>
      <c r="F101" s="1"/>
      <c r="G101" s="1"/>
      <c r="H101" s="1"/>
    </row>
    <row r="102" spans="1:8" x14ac:dyDescent="0.35">
      <c r="A102" s="1"/>
      <c r="B102" s="1"/>
      <c r="C102" s="1"/>
      <c r="D102" s="1"/>
      <c r="E102" s="1"/>
      <c r="F102" s="1"/>
      <c r="G102" s="1"/>
      <c r="H102" s="1"/>
    </row>
    <row r="103" spans="1:8" x14ac:dyDescent="0.35">
      <c r="A103" s="1"/>
      <c r="B103" s="1"/>
      <c r="C103" s="1"/>
      <c r="D103" s="1"/>
      <c r="E103" s="1"/>
      <c r="F103" s="1"/>
      <c r="G103" s="1"/>
      <c r="H103" s="1"/>
    </row>
    <row r="104" spans="1:8" x14ac:dyDescent="0.35">
      <c r="A104" s="1"/>
      <c r="B104" s="1"/>
      <c r="C104" s="1"/>
      <c r="D104" s="1"/>
      <c r="E104" s="1"/>
      <c r="F104" s="1"/>
      <c r="G104" s="1"/>
      <c r="H104" s="1"/>
    </row>
    <row r="105" spans="1:8" x14ac:dyDescent="0.35">
      <c r="A105" s="1"/>
      <c r="B105" s="1"/>
      <c r="C105" s="1"/>
      <c r="D105" s="1"/>
      <c r="E105" s="1"/>
      <c r="F105" s="1"/>
      <c r="G105" s="1"/>
      <c r="H105" s="1"/>
    </row>
    <row r="106" spans="1:8" x14ac:dyDescent="0.35">
      <c r="A106" s="1"/>
      <c r="B106" s="1"/>
      <c r="C106" s="1"/>
      <c r="D106" s="1"/>
      <c r="E106" s="1"/>
      <c r="F106" s="1"/>
      <c r="G106" s="1"/>
      <c r="H106" s="1"/>
    </row>
    <row r="107" spans="1:8" x14ac:dyDescent="0.35">
      <c r="A107" s="1"/>
      <c r="B107" s="1"/>
      <c r="C107" s="1"/>
      <c r="D107" s="1"/>
      <c r="E107" s="1"/>
      <c r="F107" s="1"/>
      <c r="G107" s="1"/>
      <c r="H107" s="1"/>
    </row>
    <row r="108" spans="1:8" x14ac:dyDescent="0.35">
      <c r="A108" s="1"/>
      <c r="B108" s="1"/>
      <c r="C108" s="1"/>
      <c r="D108" s="1"/>
      <c r="E108" s="1"/>
      <c r="F108" s="1"/>
      <c r="G108" s="1"/>
      <c r="H108" s="1"/>
    </row>
    <row r="109" spans="1:8" x14ac:dyDescent="0.35">
      <c r="A109" s="1"/>
      <c r="B109" s="1"/>
      <c r="C109" s="1"/>
      <c r="D109" s="1"/>
      <c r="E109" s="1"/>
      <c r="F109" s="1"/>
      <c r="G109" s="1"/>
      <c r="H109" s="1"/>
    </row>
    <row r="110" spans="1:8" x14ac:dyDescent="0.35">
      <c r="A110" s="1"/>
      <c r="B110" s="1"/>
      <c r="C110" s="1"/>
      <c r="D110" s="1"/>
      <c r="E110" s="1"/>
      <c r="F110" s="1"/>
      <c r="G110" s="1"/>
      <c r="H110" s="1"/>
    </row>
    <row r="111" spans="1:8" x14ac:dyDescent="0.35">
      <c r="A111" s="1"/>
      <c r="B111" s="1"/>
      <c r="C111" s="1"/>
      <c r="D111" s="1"/>
      <c r="E111" s="1"/>
      <c r="F111" s="1"/>
      <c r="G111" s="1"/>
      <c r="H111" s="1"/>
    </row>
    <row r="112" spans="1:8" x14ac:dyDescent="0.35">
      <c r="A112" s="1"/>
      <c r="B112" s="1"/>
      <c r="C112" s="1"/>
      <c r="D112" s="1"/>
      <c r="E112" s="1"/>
      <c r="F112" s="1"/>
      <c r="G112" s="1"/>
      <c r="H112" s="1"/>
    </row>
    <row r="113" spans="1:8" x14ac:dyDescent="0.35">
      <c r="A113" s="1"/>
      <c r="B113" s="1"/>
      <c r="C113" s="1"/>
      <c r="D113" s="1"/>
      <c r="E113" s="1"/>
      <c r="F113" s="1"/>
      <c r="G113" s="1"/>
      <c r="H113" s="1"/>
    </row>
    <row r="114" spans="1:8" x14ac:dyDescent="0.35">
      <c r="A114" s="1"/>
      <c r="B114" s="1"/>
      <c r="C114" s="1"/>
      <c r="D114" s="1"/>
      <c r="E114" s="1"/>
      <c r="F114" s="1"/>
      <c r="G114" s="1"/>
      <c r="H114" s="1"/>
    </row>
    <row r="115" spans="1:8" x14ac:dyDescent="0.35">
      <c r="A115" s="1"/>
      <c r="B115" s="1"/>
      <c r="C115" s="1"/>
      <c r="D115" s="1"/>
      <c r="E115" s="1"/>
      <c r="F115" s="1"/>
      <c r="G115" s="1"/>
      <c r="H115" s="1"/>
    </row>
    <row r="116" spans="1:8" x14ac:dyDescent="0.35">
      <c r="A116" s="1"/>
      <c r="B116" s="1"/>
      <c r="C116" s="1"/>
      <c r="D116" s="1"/>
      <c r="E116" s="1"/>
      <c r="F116" s="1"/>
      <c r="G116" s="1"/>
      <c r="H116" s="1"/>
    </row>
    <row r="117" spans="1:8" x14ac:dyDescent="0.35">
      <c r="A117" s="1"/>
      <c r="B117" s="1"/>
      <c r="C117" s="1"/>
      <c r="D117" s="1"/>
      <c r="E117" s="1"/>
      <c r="F117" s="1"/>
      <c r="G117" s="1"/>
      <c r="H117" s="1"/>
    </row>
    <row r="118" spans="1:8" x14ac:dyDescent="0.35">
      <c r="A118" s="1"/>
      <c r="B118" s="1"/>
      <c r="C118" s="1"/>
      <c r="D118" s="1"/>
      <c r="E118" s="1"/>
      <c r="F118" s="1"/>
      <c r="G118" s="1"/>
      <c r="H118" s="1"/>
    </row>
    <row r="119" spans="1:8" x14ac:dyDescent="0.35">
      <c r="A119" s="1"/>
      <c r="B119" s="1"/>
      <c r="C119" s="1"/>
      <c r="D119" s="1"/>
      <c r="E119" s="1"/>
      <c r="F119" s="1"/>
      <c r="G119" s="1"/>
      <c r="H119" s="1"/>
    </row>
    <row r="120" spans="1:8" x14ac:dyDescent="0.35">
      <c r="A120" s="1"/>
      <c r="B120" s="1"/>
      <c r="C120" s="1"/>
      <c r="D120" s="1"/>
      <c r="E120" s="1"/>
      <c r="F120" s="1"/>
      <c r="G120" s="1"/>
      <c r="H120" s="1"/>
    </row>
    <row r="121" spans="1:8" x14ac:dyDescent="0.35">
      <c r="A121" s="1"/>
      <c r="B121" s="1"/>
      <c r="C121" s="1"/>
      <c r="D121" s="1"/>
      <c r="E121" s="1"/>
      <c r="F121" s="1"/>
      <c r="G121" s="1"/>
      <c r="H121" s="1"/>
    </row>
    <row r="122" spans="1:8" x14ac:dyDescent="0.35">
      <c r="A122" s="1"/>
      <c r="B122" s="1"/>
      <c r="C122" s="1"/>
      <c r="D122" s="1"/>
      <c r="E122" s="1"/>
      <c r="F122" s="1"/>
      <c r="G122" s="1"/>
      <c r="H122" s="1"/>
    </row>
    <row r="123" spans="1:8" x14ac:dyDescent="0.35">
      <c r="A123" s="1"/>
      <c r="B123" s="1"/>
      <c r="C123" s="1"/>
      <c r="D123" s="1"/>
      <c r="E123" s="1"/>
      <c r="F123" s="1"/>
      <c r="G123" s="1"/>
      <c r="H123" s="1"/>
    </row>
    <row r="124" spans="1:8" x14ac:dyDescent="0.35">
      <c r="A124" s="1"/>
      <c r="B124" s="1"/>
      <c r="C124" s="1"/>
      <c r="D124" s="1"/>
      <c r="E124" s="1"/>
      <c r="F124" s="1"/>
      <c r="G124" s="1"/>
      <c r="H124" s="1"/>
    </row>
    <row r="125" spans="1:8" x14ac:dyDescent="0.35">
      <c r="A125" s="1"/>
      <c r="B125" s="1"/>
      <c r="C125" s="1"/>
      <c r="D125" s="1"/>
      <c r="E125" s="1"/>
      <c r="F125" s="1"/>
      <c r="G125" s="1"/>
      <c r="H125" s="1"/>
    </row>
    <row r="126" spans="1:8" x14ac:dyDescent="0.35">
      <c r="A126" s="1"/>
      <c r="B126" s="1"/>
      <c r="C126" s="1"/>
      <c r="D126" s="1"/>
      <c r="E126" s="1"/>
      <c r="F126" s="1"/>
      <c r="G126" s="1"/>
      <c r="H126" s="1"/>
    </row>
    <row r="127" spans="1:8" x14ac:dyDescent="0.35">
      <c r="A127" s="1"/>
      <c r="B127" s="1"/>
      <c r="C127" s="1"/>
      <c r="D127" s="1"/>
      <c r="E127" s="1"/>
      <c r="F127" s="1"/>
      <c r="G127" s="1"/>
      <c r="H127" s="1"/>
    </row>
    <row r="128" spans="1:8" x14ac:dyDescent="0.35">
      <c r="A128" s="1"/>
      <c r="B128" s="1"/>
      <c r="C128" s="1"/>
      <c r="D128" s="1"/>
      <c r="E128" s="1"/>
      <c r="F128" s="1"/>
      <c r="G128" s="1"/>
      <c r="H128" s="1"/>
    </row>
    <row r="129" spans="1:8" x14ac:dyDescent="0.35">
      <c r="A129" s="1"/>
      <c r="B129" s="1"/>
      <c r="C129" s="1"/>
      <c r="D129" s="1"/>
      <c r="E129" s="1"/>
      <c r="F129" s="1"/>
      <c r="G129" s="1"/>
      <c r="H129" s="1"/>
    </row>
    <row r="130" spans="1:8" x14ac:dyDescent="0.35">
      <c r="A130" s="1"/>
      <c r="B130" s="1"/>
      <c r="C130" s="1"/>
      <c r="D130" s="1"/>
      <c r="E130" s="1"/>
      <c r="F130" s="1"/>
      <c r="G130" s="1"/>
      <c r="H130" s="1"/>
    </row>
    <row r="131" spans="1:8" x14ac:dyDescent="0.35">
      <c r="A131" s="1"/>
      <c r="B131" s="1"/>
      <c r="C131" s="1"/>
      <c r="D131" s="1"/>
      <c r="E131" s="1"/>
      <c r="F131" s="1"/>
      <c r="G131" s="1"/>
      <c r="H131" s="1"/>
    </row>
    <row r="132" spans="1:8" x14ac:dyDescent="0.35">
      <c r="A132" s="1"/>
      <c r="B132" s="1"/>
      <c r="C132" s="1"/>
      <c r="D132" s="1"/>
      <c r="E132" s="1"/>
      <c r="F132" s="1"/>
      <c r="G132" s="1"/>
      <c r="H132" s="1"/>
    </row>
    <row r="133" spans="1:8" x14ac:dyDescent="0.35">
      <c r="A133" s="1"/>
      <c r="B133" s="1"/>
      <c r="C133" s="1"/>
      <c r="D133" s="1"/>
      <c r="E133" s="1"/>
      <c r="F133" s="1"/>
      <c r="G133" s="1"/>
      <c r="H133" s="1"/>
    </row>
    <row r="134" spans="1:8" x14ac:dyDescent="0.35">
      <c r="A134" s="1"/>
      <c r="B134" s="1"/>
      <c r="C134" s="1"/>
      <c r="D134" s="1"/>
      <c r="E134" s="1"/>
      <c r="F134" s="1"/>
      <c r="G134" s="1"/>
      <c r="H134" s="1"/>
    </row>
    <row r="135" spans="1:8" x14ac:dyDescent="0.35">
      <c r="A135" s="1"/>
      <c r="B135" s="1"/>
      <c r="C135" s="1"/>
      <c r="D135" s="1"/>
      <c r="E135" s="1"/>
      <c r="F135" s="1"/>
      <c r="G135" s="1"/>
      <c r="H135" s="1"/>
    </row>
    <row r="136" spans="1:8" x14ac:dyDescent="0.35">
      <c r="A136" s="1"/>
      <c r="B136" s="1"/>
      <c r="C136" s="1"/>
      <c r="D136" s="1"/>
      <c r="E136" s="1"/>
      <c r="F136" s="1"/>
      <c r="G136" s="1"/>
      <c r="H136" s="1"/>
    </row>
    <row r="137" spans="1:8" x14ac:dyDescent="0.35">
      <c r="A137" s="1"/>
      <c r="B137" s="1"/>
      <c r="C137" s="1"/>
      <c r="D137" s="1"/>
      <c r="E137" s="1"/>
      <c r="F137" s="1"/>
      <c r="G137" s="1"/>
      <c r="H137" s="1"/>
    </row>
    <row r="138" spans="1:8" x14ac:dyDescent="0.35">
      <c r="A138" s="1"/>
      <c r="B138" s="1"/>
      <c r="C138" s="1"/>
      <c r="D138" s="1"/>
      <c r="E138" s="1"/>
      <c r="F138" s="1"/>
      <c r="G138" s="1"/>
      <c r="H138" s="1"/>
    </row>
    <row r="139" spans="1:8" x14ac:dyDescent="0.35">
      <c r="A139" s="1"/>
      <c r="B139" s="1"/>
      <c r="C139" s="1"/>
      <c r="D139" s="1"/>
      <c r="E139" s="1"/>
      <c r="F139" s="1"/>
      <c r="G139" s="1"/>
      <c r="H139" s="1"/>
    </row>
    <row r="140" spans="1:8" x14ac:dyDescent="0.35">
      <c r="A140" s="1"/>
      <c r="B140" s="1"/>
      <c r="C140" s="1"/>
      <c r="D140" s="1"/>
      <c r="E140" s="1"/>
      <c r="F140" s="1"/>
      <c r="G140" s="1"/>
      <c r="H140" s="1"/>
    </row>
    <row r="141" spans="1:8" x14ac:dyDescent="0.35">
      <c r="A141" s="1"/>
      <c r="B141" s="1"/>
      <c r="C141" s="1"/>
      <c r="D141" s="1"/>
      <c r="E141" s="1"/>
      <c r="F141" s="1"/>
      <c r="G141" s="1"/>
      <c r="H141" s="1"/>
    </row>
    <row r="142" spans="1:8" x14ac:dyDescent="0.35">
      <c r="A142" s="1"/>
      <c r="B142" s="1"/>
      <c r="C142" s="1"/>
      <c r="D142" s="1"/>
      <c r="E142" s="1"/>
      <c r="F142" s="1"/>
      <c r="G142" s="1"/>
      <c r="H142" s="1"/>
    </row>
    <row r="143" spans="1:8" x14ac:dyDescent="0.35">
      <c r="A143" s="1"/>
      <c r="B143" s="1"/>
      <c r="C143" s="1"/>
      <c r="D143" s="1"/>
      <c r="E143" s="1"/>
      <c r="F143" s="1"/>
      <c r="G143" s="1"/>
      <c r="H143" s="1"/>
    </row>
    <row r="144" spans="1:8" x14ac:dyDescent="0.35">
      <c r="A144" s="1"/>
      <c r="B144" s="1"/>
      <c r="C144" s="1"/>
      <c r="D144" s="1"/>
      <c r="E144" s="1"/>
      <c r="F144" s="1"/>
      <c r="G144" s="1"/>
      <c r="H144" s="1"/>
    </row>
    <row r="145" spans="1:8" x14ac:dyDescent="0.35">
      <c r="A145" s="1"/>
      <c r="B145" s="1"/>
      <c r="C145" s="1"/>
      <c r="D145" s="1"/>
      <c r="E145" s="1"/>
      <c r="F145" s="1"/>
      <c r="G145" s="1"/>
      <c r="H145" s="1"/>
    </row>
    <row r="146" spans="1:8" x14ac:dyDescent="0.35">
      <c r="A146" s="1"/>
      <c r="B146" s="1"/>
      <c r="C146" s="1"/>
      <c r="D146" s="1"/>
      <c r="E146" s="1"/>
      <c r="F146" s="1"/>
      <c r="G146" s="1"/>
      <c r="H146" s="1"/>
    </row>
    <row r="147" spans="1:8" x14ac:dyDescent="0.35">
      <c r="A147" s="1"/>
      <c r="B147" s="1"/>
      <c r="C147" s="1"/>
      <c r="D147" s="1"/>
      <c r="E147" s="1"/>
      <c r="F147" s="1"/>
      <c r="G147" s="1"/>
      <c r="H147" s="1"/>
    </row>
    <row r="148" spans="1:8" x14ac:dyDescent="0.35">
      <c r="A148" s="1"/>
      <c r="B148" s="1"/>
      <c r="C148" s="1"/>
      <c r="D148" s="1"/>
      <c r="E148" s="1"/>
      <c r="F148" s="1"/>
      <c r="G148" s="1"/>
      <c r="H148" s="1"/>
    </row>
    <row r="149" spans="1:8" x14ac:dyDescent="0.35">
      <c r="A149" s="1"/>
      <c r="B149" s="1"/>
      <c r="C149" s="1"/>
      <c r="D149" s="1"/>
      <c r="E149" s="1"/>
      <c r="F149" s="1"/>
      <c r="G149" s="1"/>
      <c r="H149" s="1"/>
    </row>
    <row r="150" spans="1:8" x14ac:dyDescent="0.35">
      <c r="A150" s="1"/>
      <c r="B150" s="1"/>
      <c r="C150" s="1"/>
      <c r="D150" s="1"/>
      <c r="E150" s="1"/>
      <c r="F150" s="1"/>
      <c r="G150" s="1"/>
      <c r="H150" s="1"/>
    </row>
    <row r="151" spans="1:8" x14ac:dyDescent="0.35">
      <c r="A151" s="1"/>
      <c r="B151" s="1"/>
      <c r="C151" s="1"/>
      <c r="D151" s="1"/>
      <c r="E151" s="1"/>
      <c r="F151" s="1"/>
      <c r="G151" s="1"/>
      <c r="H151" s="1"/>
    </row>
    <row r="152" spans="1:8" x14ac:dyDescent="0.35">
      <c r="A152" s="1"/>
      <c r="B152" s="1"/>
      <c r="C152" s="1"/>
      <c r="D152" s="1"/>
      <c r="E152" s="1"/>
      <c r="F152" s="1"/>
      <c r="G152" s="1"/>
      <c r="H152" s="1"/>
    </row>
    <row r="153" spans="1:8" x14ac:dyDescent="0.35">
      <c r="A153" s="1"/>
      <c r="B153" s="1"/>
      <c r="C153" s="1"/>
      <c r="D153" s="1"/>
      <c r="E153" s="1"/>
      <c r="F153" s="1"/>
      <c r="G153" s="1"/>
      <c r="H153" s="1"/>
    </row>
    <row r="154" spans="1:8" x14ac:dyDescent="0.35">
      <c r="A154" s="1"/>
      <c r="B154" s="1"/>
      <c r="C154" s="1"/>
      <c r="D154" s="1"/>
      <c r="E154" s="1"/>
      <c r="F154" s="1"/>
      <c r="G154" s="1"/>
      <c r="H154" s="1"/>
    </row>
    <row r="155" spans="1:8" x14ac:dyDescent="0.35">
      <c r="A155" s="1"/>
      <c r="B155" s="1"/>
      <c r="C155" s="1"/>
      <c r="D155" s="1"/>
      <c r="E155" s="1"/>
      <c r="F155" s="1"/>
      <c r="G155" s="1"/>
      <c r="H155" s="1"/>
    </row>
    <row r="156" spans="1:8" x14ac:dyDescent="0.35">
      <c r="A156" s="1"/>
      <c r="B156" s="1"/>
      <c r="C156" s="1"/>
      <c r="D156" s="1"/>
      <c r="E156" s="1"/>
      <c r="F156" s="1"/>
      <c r="G156" s="1"/>
      <c r="H156" s="1"/>
    </row>
    <row r="157" spans="1:8" x14ac:dyDescent="0.35">
      <c r="A157" s="1"/>
      <c r="B157" s="1"/>
      <c r="C157" s="1"/>
      <c r="D157" s="1"/>
      <c r="E157" s="1"/>
      <c r="F157" s="1"/>
      <c r="G157" s="1"/>
      <c r="H157" s="1"/>
    </row>
    <row r="158" spans="1:8" x14ac:dyDescent="0.35">
      <c r="A158" s="1"/>
      <c r="B158" s="1"/>
      <c r="C158" s="1"/>
      <c r="D158" s="1"/>
      <c r="E158" s="1"/>
      <c r="F158" s="1"/>
      <c r="G158" s="1"/>
      <c r="H158" s="1"/>
    </row>
    <row r="159" spans="1:8" x14ac:dyDescent="0.35">
      <c r="A159" s="1"/>
      <c r="B159" s="1"/>
      <c r="C159" s="1"/>
      <c r="D159" s="1"/>
      <c r="E159" s="1"/>
      <c r="F159" s="1"/>
      <c r="G159" s="1"/>
      <c r="H159" s="1"/>
    </row>
    <row r="160" spans="1:8" x14ac:dyDescent="0.35">
      <c r="A160" s="1"/>
      <c r="B160" s="1"/>
      <c r="C160" s="1"/>
      <c r="D160" s="1"/>
      <c r="E160" s="1"/>
      <c r="F160" s="1"/>
      <c r="G160" s="1"/>
      <c r="H160" s="1"/>
    </row>
    <row r="161" spans="1:8" x14ac:dyDescent="0.35">
      <c r="A161" s="1"/>
      <c r="B161" s="1"/>
      <c r="C161" s="1"/>
      <c r="D161" s="1"/>
      <c r="E161" s="1"/>
      <c r="F161" s="1"/>
      <c r="G161" s="1"/>
      <c r="H161" s="1"/>
    </row>
    <row r="162" spans="1:8" x14ac:dyDescent="0.35">
      <c r="A162" s="1"/>
      <c r="B162" s="1"/>
      <c r="C162" s="1"/>
      <c r="D162" s="1"/>
      <c r="E162" s="1"/>
      <c r="F162" s="1"/>
      <c r="G162" s="1"/>
      <c r="H162" s="1"/>
    </row>
    <row r="163" spans="1:8" x14ac:dyDescent="0.35">
      <c r="A163" s="1"/>
      <c r="B163" s="1"/>
      <c r="C163" s="1"/>
      <c r="D163" s="1"/>
      <c r="E163" s="1"/>
      <c r="F163" s="1"/>
      <c r="G163" s="1"/>
      <c r="H163" s="1"/>
    </row>
    <row r="164" spans="1:8" x14ac:dyDescent="0.35">
      <c r="A164" s="1"/>
      <c r="B164" s="1"/>
      <c r="C164" s="1"/>
      <c r="D164" s="1"/>
      <c r="E164" s="1"/>
      <c r="F164" s="1"/>
      <c r="G164" s="1"/>
      <c r="H164" s="1"/>
    </row>
    <row r="165" spans="1:8" x14ac:dyDescent="0.35">
      <c r="A165" s="1"/>
      <c r="B165" s="1"/>
      <c r="C165" s="1"/>
      <c r="D165" s="1"/>
      <c r="E165" s="1"/>
      <c r="F165" s="1"/>
      <c r="G165" s="1"/>
      <c r="H165" s="1"/>
    </row>
    <row r="166" spans="1:8" x14ac:dyDescent="0.35">
      <c r="A166" s="1"/>
      <c r="B166" s="1"/>
      <c r="C166" s="1"/>
      <c r="D166" s="1"/>
      <c r="E166" s="1"/>
      <c r="F166" s="1"/>
      <c r="G166" s="1"/>
      <c r="H166" s="1"/>
    </row>
    <row r="167" spans="1:8" x14ac:dyDescent="0.35">
      <c r="A167" s="1"/>
      <c r="B167" s="1"/>
      <c r="C167" s="1"/>
      <c r="D167" s="1"/>
      <c r="E167" s="1"/>
      <c r="F167" s="1"/>
      <c r="G167" s="1"/>
      <c r="H167" s="1"/>
    </row>
    <row r="168" spans="1:8" x14ac:dyDescent="0.35">
      <c r="A168" s="1"/>
      <c r="B168" s="1"/>
      <c r="C168" s="1"/>
      <c r="D168" s="1"/>
      <c r="E168" s="1"/>
      <c r="F168" s="1"/>
      <c r="G168" s="1"/>
      <c r="H168" s="1"/>
    </row>
    <row r="169" spans="1:8" x14ac:dyDescent="0.35">
      <c r="A169" s="1"/>
      <c r="B169" s="1"/>
      <c r="C169" s="1"/>
      <c r="D169" s="1"/>
      <c r="E169" s="1"/>
      <c r="F169" s="1"/>
      <c r="G169" s="1"/>
      <c r="H169" s="1"/>
    </row>
    <row r="170" spans="1:8" x14ac:dyDescent="0.35">
      <c r="A170" s="1"/>
      <c r="B170" s="1"/>
      <c r="C170" s="1"/>
      <c r="D170" s="1"/>
      <c r="E170" s="1"/>
      <c r="F170" s="1"/>
      <c r="G170" s="1"/>
      <c r="H170" s="1"/>
    </row>
    <row r="171" spans="1:8" x14ac:dyDescent="0.35">
      <c r="A171" s="1"/>
      <c r="B171" s="1"/>
      <c r="C171" s="1"/>
      <c r="D171" s="1"/>
      <c r="E171" s="1"/>
      <c r="F171" s="1"/>
      <c r="G171" s="1"/>
      <c r="H171" s="1"/>
    </row>
    <row r="172" spans="1:8" x14ac:dyDescent="0.35">
      <c r="A172" s="1"/>
      <c r="B172" s="1"/>
      <c r="C172" s="1"/>
      <c r="D172" s="1"/>
      <c r="E172" s="1"/>
      <c r="F172" s="1"/>
      <c r="G172" s="1"/>
      <c r="H172" s="1"/>
    </row>
    <row r="173" spans="1:8" x14ac:dyDescent="0.35">
      <c r="A173" s="1"/>
      <c r="B173" s="1"/>
      <c r="C173" s="1"/>
      <c r="D173" s="1"/>
      <c r="E173" s="1"/>
      <c r="F173" s="1"/>
      <c r="G173" s="1"/>
      <c r="H173" s="1"/>
    </row>
    <row r="174" spans="1:8" x14ac:dyDescent="0.35">
      <c r="A174" s="1"/>
      <c r="B174" s="1"/>
      <c r="C174" s="1"/>
      <c r="D174" s="1"/>
      <c r="E174" s="1"/>
      <c r="F174" s="1"/>
      <c r="G174" s="1"/>
      <c r="H174" s="1"/>
    </row>
    <row r="175" spans="1:8" x14ac:dyDescent="0.35">
      <c r="A175" s="1"/>
      <c r="B175" s="1"/>
      <c r="C175" s="1"/>
      <c r="D175" s="1"/>
      <c r="E175" s="1"/>
      <c r="F175" s="1"/>
      <c r="G175" s="1"/>
      <c r="H175" s="1"/>
    </row>
    <row r="176" spans="1:8" x14ac:dyDescent="0.35">
      <c r="A176" s="1"/>
      <c r="B176" s="1"/>
      <c r="C176" s="1"/>
      <c r="D176" s="1"/>
      <c r="E176" s="1"/>
      <c r="F176" s="1"/>
      <c r="G176" s="1"/>
      <c r="H176" s="1"/>
    </row>
    <row r="177" spans="1:8" x14ac:dyDescent="0.35">
      <c r="A177" s="1"/>
      <c r="B177" s="1"/>
      <c r="C177" s="1"/>
      <c r="D177" s="1"/>
      <c r="E177" s="1"/>
      <c r="F177" s="1"/>
      <c r="G177" s="1"/>
      <c r="H177" s="1"/>
    </row>
    <row r="178" spans="1:8" x14ac:dyDescent="0.35">
      <c r="A178" s="1"/>
      <c r="B178" s="1"/>
      <c r="C178" s="1"/>
      <c r="D178" s="1"/>
      <c r="E178" s="1"/>
      <c r="F178" s="1"/>
      <c r="G178" s="1"/>
      <c r="H178" s="1"/>
    </row>
    <row r="179" spans="1:8" x14ac:dyDescent="0.35">
      <c r="A179" s="1"/>
      <c r="B179" s="1"/>
      <c r="C179" s="1"/>
      <c r="D179" s="1"/>
      <c r="E179" s="1"/>
      <c r="F179" s="1"/>
      <c r="G179" s="1"/>
      <c r="H179" s="1"/>
    </row>
    <row r="180" spans="1:8" x14ac:dyDescent="0.35">
      <c r="A180" s="1"/>
      <c r="B180" s="1"/>
      <c r="C180" s="1"/>
      <c r="D180" s="1"/>
      <c r="E180" s="1"/>
      <c r="F180" s="1"/>
      <c r="G180" s="1"/>
      <c r="H180" s="1"/>
    </row>
    <row r="181" spans="1:8" x14ac:dyDescent="0.35">
      <c r="A181" s="1"/>
      <c r="B181" s="1"/>
      <c r="C181" s="1"/>
      <c r="D181" s="1"/>
      <c r="E181" s="1"/>
      <c r="F181" s="1"/>
      <c r="G181" s="1"/>
      <c r="H181" s="1"/>
    </row>
    <row r="182" spans="1:8" x14ac:dyDescent="0.35">
      <c r="A182" s="1"/>
      <c r="B182" s="1"/>
      <c r="C182" s="1"/>
      <c r="D182" s="1"/>
      <c r="E182" s="1"/>
      <c r="F182" s="1"/>
      <c r="G182" s="1"/>
      <c r="H182" s="1"/>
    </row>
    <row r="183" spans="1:8" x14ac:dyDescent="0.35">
      <c r="A183" s="1"/>
      <c r="B183" s="1"/>
      <c r="C183" s="1"/>
      <c r="D183" s="1"/>
      <c r="E183" s="1"/>
      <c r="F183" s="1"/>
      <c r="G183" s="1"/>
      <c r="H183" s="1"/>
    </row>
    <row r="184" spans="1:8" x14ac:dyDescent="0.35">
      <c r="A184" s="1"/>
      <c r="B184" s="1"/>
      <c r="C184" s="1"/>
      <c r="D184" s="1"/>
      <c r="E184" s="1"/>
      <c r="F184" s="1"/>
      <c r="G184" s="1"/>
      <c r="H184" s="1"/>
    </row>
    <row r="185" spans="1:8" x14ac:dyDescent="0.35">
      <c r="A185" s="1"/>
      <c r="B185" s="1"/>
      <c r="C185" s="1"/>
      <c r="D185" s="1"/>
      <c r="E185" s="1"/>
      <c r="F185" s="1"/>
      <c r="G185" s="1"/>
      <c r="H185" s="1"/>
    </row>
    <row r="186" spans="1:8" x14ac:dyDescent="0.35">
      <c r="A186" s="1"/>
      <c r="B186" s="1"/>
      <c r="C186" s="1"/>
      <c r="D186" s="1"/>
      <c r="E186" s="1"/>
      <c r="F186" s="1"/>
      <c r="G186" s="1"/>
      <c r="H186" s="1"/>
    </row>
    <row r="187" spans="1:8" x14ac:dyDescent="0.35">
      <c r="A187" s="1"/>
      <c r="B187" s="1"/>
      <c r="C187" s="1"/>
      <c r="D187" s="1"/>
      <c r="E187" s="1"/>
      <c r="F187" s="1"/>
      <c r="G187" s="1"/>
      <c r="H187" s="1"/>
    </row>
    <row r="188" spans="1:8" x14ac:dyDescent="0.35">
      <c r="A188" s="1"/>
      <c r="B188" s="1"/>
      <c r="C188" s="1"/>
      <c r="D188" s="1"/>
      <c r="E188" s="1"/>
      <c r="F188" s="1"/>
      <c r="G188" s="1"/>
      <c r="H188" s="1"/>
    </row>
    <row r="189" spans="1:8" x14ac:dyDescent="0.35">
      <c r="A189" s="1"/>
      <c r="B189" s="1"/>
      <c r="C189" s="1"/>
      <c r="D189" s="1"/>
      <c r="E189" s="1"/>
      <c r="F189" s="1"/>
      <c r="G189" s="1"/>
      <c r="H189" s="1"/>
    </row>
    <row r="190" spans="1:8" x14ac:dyDescent="0.35">
      <c r="A190" s="1"/>
      <c r="B190" s="1"/>
      <c r="C190" s="1"/>
      <c r="D190" s="1"/>
      <c r="E190" s="1"/>
      <c r="F190" s="1"/>
      <c r="G190" s="1"/>
      <c r="H190" s="1"/>
    </row>
    <row r="191" spans="1:8" x14ac:dyDescent="0.35">
      <c r="A191" s="1"/>
      <c r="B191" s="1"/>
      <c r="C191" s="1"/>
      <c r="D191" s="1"/>
      <c r="E191" s="1"/>
      <c r="F191" s="1"/>
      <c r="G191" s="1"/>
      <c r="H191" s="1"/>
    </row>
    <row r="192" spans="1:8" x14ac:dyDescent="0.35">
      <c r="A192" s="1"/>
      <c r="B192" s="1"/>
      <c r="C192" s="1"/>
      <c r="D192" s="1"/>
      <c r="E192" s="1"/>
      <c r="F192" s="1"/>
      <c r="G192" s="1"/>
      <c r="H192" s="1"/>
    </row>
    <row r="193" spans="1:8" x14ac:dyDescent="0.35">
      <c r="A193" s="1"/>
      <c r="B193" s="1"/>
      <c r="C193" s="1"/>
      <c r="D193" s="1"/>
      <c r="E193" s="1"/>
      <c r="F193" s="1"/>
      <c r="G193" s="1"/>
      <c r="H193" s="1"/>
    </row>
    <row r="194" spans="1:8" x14ac:dyDescent="0.35">
      <c r="A194" s="1"/>
      <c r="B194" s="1"/>
      <c r="C194" s="1"/>
      <c r="D194" s="1"/>
      <c r="E194" s="1"/>
      <c r="F194" s="1"/>
      <c r="G194" s="1"/>
      <c r="H194" s="1"/>
    </row>
    <row r="195" spans="1:8" x14ac:dyDescent="0.35">
      <c r="A195" s="1"/>
      <c r="B195" s="1"/>
      <c r="C195" s="1"/>
      <c r="D195" s="1"/>
      <c r="E195" s="1"/>
      <c r="F195" s="1"/>
      <c r="G195" s="1"/>
      <c r="H195" s="1"/>
    </row>
    <row r="196" spans="1:8" x14ac:dyDescent="0.35">
      <c r="A196" s="1"/>
      <c r="B196" s="1"/>
      <c r="C196" s="1"/>
      <c r="D196" s="1"/>
      <c r="E196" s="1"/>
      <c r="F196" s="1"/>
      <c r="G196" s="1"/>
      <c r="H196" s="1"/>
    </row>
    <row r="197" spans="1:8" x14ac:dyDescent="0.35">
      <c r="A197" s="1"/>
      <c r="B197" s="1"/>
      <c r="C197" s="1"/>
      <c r="D197" s="1"/>
      <c r="E197" s="1"/>
      <c r="F197" s="1"/>
      <c r="G197" s="1"/>
      <c r="H197" s="1"/>
    </row>
    <row r="198" spans="1:8" x14ac:dyDescent="0.35">
      <c r="A198" s="1"/>
      <c r="B198" s="1"/>
      <c r="C198" s="1"/>
      <c r="D198" s="1"/>
      <c r="E198" s="1"/>
      <c r="F198" s="1"/>
      <c r="G198" s="1"/>
      <c r="H198" s="1"/>
    </row>
    <row r="199" spans="1:8" x14ac:dyDescent="0.35">
      <c r="A199" s="1"/>
      <c r="B199" s="1"/>
      <c r="C199" s="1"/>
      <c r="D199" s="1"/>
      <c r="E199" s="1"/>
      <c r="F199" s="1"/>
      <c r="G199" s="1"/>
      <c r="H199" s="1"/>
    </row>
    <row r="200" spans="1:8" x14ac:dyDescent="0.35">
      <c r="A200" s="1"/>
      <c r="B200" s="1"/>
      <c r="C200" s="1"/>
      <c r="D200" s="1"/>
      <c r="E200" s="1"/>
      <c r="F200" s="1"/>
      <c r="G200" s="1"/>
      <c r="H200" s="1"/>
    </row>
    <row r="201" spans="1:8" x14ac:dyDescent="0.35">
      <c r="A201" s="1"/>
      <c r="B201" s="1"/>
      <c r="C201" s="1"/>
      <c r="D201" s="1"/>
      <c r="E201" s="1"/>
      <c r="F201" s="1"/>
      <c r="G201" s="1"/>
      <c r="H201" s="1"/>
    </row>
    <row r="202" spans="1:8" x14ac:dyDescent="0.35">
      <c r="A202" s="1"/>
      <c r="B202" s="1"/>
      <c r="C202" s="1"/>
      <c r="D202" s="1"/>
      <c r="E202" s="1"/>
      <c r="F202" s="1"/>
      <c r="G202" s="1"/>
      <c r="H202" s="1"/>
    </row>
    <row r="203" spans="1:8" x14ac:dyDescent="0.35">
      <c r="A203" s="1"/>
      <c r="B203" s="1"/>
      <c r="C203" s="1"/>
      <c r="D203" s="1"/>
      <c r="E203" s="1"/>
      <c r="F203" s="1"/>
      <c r="G203" s="1"/>
      <c r="H203" s="1"/>
    </row>
    <row r="204" spans="1:8" x14ac:dyDescent="0.35">
      <c r="A204" s="1"/>
      <c r="B204" s="1"/>
      <c r="C204" s="1"/>
      <c r="D204" s="1"/>
      <c r="E204" s="1"/>
      <c r="F204" s="1"/>
      <c r="G204" s="1"/>
      <c r="H204" s="1"/>
    </row>
    <row r="205" spans="1:8" x14ac:dyDescent="0.35">
      <c r="A205" s="1"/>
      <c r="B205" s="1"/>
      <c r="C205" s="1"/>
      <c r="D205" s="1"/>
      <c r="E205" s="1"/>
      <c r="F205" s="1"/>
      <c r="G205" s="1"/>
      <c r="H205" s="1"/>
    </row>
    <row r="206" spans="1:8" x14ac:dyDescent="0.35">
      <c r="A206" s="1"/>
      <c r="B206" s="1"/>
      <c r="C206" s="1"/>
      <c r="D206" s="1"/>
      <c r="E206" s="1"/>
      <c r="F206" s="1"/>
      <c r="G206" s="1"/>
      <c r="H206" s="1"/>
    </row>
    <row r="207" spans="1:8" x14ac:dyDescent="0.35">
      <c r="A207" s="1"/>
      <c r="B207" s="1"/>
      <c r="C207" s="1"/>
      <c r="D207" s="1"/>
      <c r="E207" s="1"/>
      <c r="F207" s="1"/>
      <c r="G207" s="1"/>
      <c r="H207" s="1"/>
    </row>
    <row r="208" spans="1:8" x14ac:dyDescent="0.35">
      <c r="A208" s="1"/>
      <c r="B208" s="1"/>
      <c r="C208" s="1"/>
      <c r="D208" s="1"/>
      <c r="E208" s="1"/>
      <c r="F208" s="1"/>
      <c r="G208" s="1"/>
      <c r="H208" s="1"/>
    </row>
    <row r="209" spans="1:8" x14ac:dyDescent="0.35">
      <c r="A209" s="1"/>
      <c r="B209" s="1"/>
      <c r="C209" s="1"/>
      <c r="D209" s="1"/>
      <c r="E209" s="1"/>
      <c r="F209" s="1"/>
      <c r="G209" s="1"/>
      <c r="H209" s="1"/>
    </row>
    <row r="210" spans="1:8" x14ac:dyDescent="0.35">
      <c r="A210" s="1"/>
      <c r="B210" s="1"/>
      <c r="C210" s="1"/>
      <c r="D210" s="1"/>
      <c r="E210" s="1"/>
      <c r="F210" s="1"/>
      <c r="G210" s="1"/>
      <c r="H210" s="1"/>
    </row>
    <row r="211" spans="1:8" x14ac:dyDescent="0.35">
      <c r="A211" s="1"/>
      <c r="B211" s="1"/>
      <c r="C211" s="1"/>
      <c r="D211" s="1"/>
      <c r="E211" s="1"/>
      <c r="F211" s="1"/>
      <c r="G211" s="1"/>
      <c r="H211" s="1"/>
    </row>
    <row r="212" spans="1:8" x14ac:dyDescent="0.35">
      <c r="A212" s="1"/>
      <c r="B212" s="1"/>
      <c r="C212" s="1"/>
      <c r="D212" s="1"/>
      <c r="E212" s="1"/>
      <c r="F212" s="1"/>
      <c r="G212" s="1"/>
      <c r="H212" s="1"/>
    </row>
    <row r="213" spans="1:8" x14ac:dyDescent="0.35">
      <c r="A213" s="1"/>
      <c r="B213" s="1"/>
      <c r="C213" s="1"/>
      <c r="D213" s="1"/>
      <c r="E213" s="1"/>
      <c r="F213" s="1"/>
      <c r="G213" s="1"/>
      <c r="H213" s="1"/>
    </row>
    <row r="214" spans="1:8" x14ac:dyDescent="0.35">
      <c r="A214" s="1"/>
      <c r="B214" s="1"/>
      <c r="C214" s="1"/>
      <c r="D214" s="1"/>
      <c r="E214" s="1"/>
      <c r="F214" s="1"/>
      <c r="G214" s="1"/>
      <c r="H214" s="1"/>
    </row>
    <row r="215" spans="1:8" x14ac:dyDescent="0.35">
      <c r="A215" s="1"/>
      <c r="B215" s="1"/>
      <c r="C215" s="1"/>
      <c r="D215" s="1"/>
      <c r="E215" s="1"/>
      <c r="F215" s="1"/>
      <c r="G215" s="1"/>
      <c r="H215" s="1"/>
    </row>
    <row r="216" spans="1:8" x14ac:dyDescent="0.35">
      <c r="A216" s="1"/>
      <c r="B216" s="1"/>
      <c r="C216" s="1"/>
      <c r="D216" s="1"/>
      <c r="E216" s="1"/>
      <c r="F216" s="1"/>
      <c r="G216" s="1"/>
      <c r="H216" s="1"/>
    </row>
    <row r="217" spans="1:8" x14ac:dyDescent="0.35">
      <c r="A217" s="1"/>
      <c r="B217" s="1"/>
      <c r="C217" s="1"/>
      <c r="D217" s="1"/>
      <c r="E217" s="1"/>
      <c r="F217" s="1"/>
      <c r="G217" s="1"/>
      <c r="H217" s="1"/>
    </row>
    <row r="218" spans="1:8" x14ac:dyDescent="0.35">
      <c r="A218" s="1"/>
      <c r="B218" s="1"/>
      <c r="C218" s="1"/>
      <c r="D218" s="1"/>
      <c r="E218" s="1"/>
      <c r="F218" s="1"/>
      <c r="G218" s="1"/>
      <c r="H2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MMDC</vt:lpstr>
      <vt:lpstr>DYOD</vt:lpstr>
      <vt:lpstr>Sensitivity</vt:lpstr>
    </vt:vector>
  </TitlesOfParts>
  <Company>Harvard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Luehrman, Timothy</dc:creator>
  <cp:lastModifiedBy>João Carvalho das Neves</cp:lastModifiedBy>
  <cp:lastPrinted>2018-11-20T20:49:25Z</cp:lastPrinted>
  <dcterms:created xsi:type="dcterms:W3CDTF">2010-07-15T15:35:49Z</dcterms:created>
  <dcterms:modified xsi:type="dcterms:W3CDTF">2018-11-21T14:45:18Z</dcterms:modified>
</cp:coreProperties>
</file>