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neves\OneDrive - Instituto Superior de Economia e Gestao da Universidade de Lisboa\Teaching-English\ISEG-CorporateFinance-Master Finance\Exams\"/>
    </mc:Choice>
  </mc:AlternateContent>
  <bookViews>
    <workbookView xWindow="0" yWindow="0" windowWidth="15530" windowHeight="6630"/>
  </bookViews>
  <sheets>
    <sheet name="Industria de Diseno Textil SA |" sheetId="2" r:id="rId1"/>
    <sheet name="Capital Budgeting" sheetId="3" r:id="rId2"/>
    <sheet name="Multiple questions" sheetId="4" r:id="rId3"/>
  </sheets>
  <calcPr calcId="162913"/>
</workbook>
</file>

<file path=xl/calcChain.xml><?xml version="1.0" encoding="utf-8"?>
<calcChain xmlns="http://schemas.openxmlformats.org/spreadsheetml/2006/main">
  <c r="D139" i="2" l="1"/>
  <c r="D134" i="2"/>
  <c r="A93" i="2" l="1"/>
  <c r="A92" i="2"/>
  <c r="A91" i="2"/>
  <c r="I116" i="2"/>
  <c r="I114" i="2"/>
  <c r="H114" i="2"/>
  <c r="I113" i="2"/>
  <c r="H113" i="2"/>
  <c r="B80" i="2" l="1"/>
  <c r="C80" i="2"/>
  <c r="C134" i="2" l="1"/>
  <c r="B134" i="2"/>
  <c r="C138" i="2"/>
  <c r="B138" i="2"/>
  <c r="C85" i="2"/>
  <c r="F85" i="2" s="1"/>
  <c r="C84" i="2"/>
  <c r="F84" i="2" s="1"/>
  <c r="C83" i="2"/>
  <c r="C79" i="2"/>
  <c r="F79" i="2" s="1"/>
  <c r="C78" i="2"/>
  <c r="C92" i="2" s="1"/>
  <c r="C77" i="2"/>
  <c r="C76" i="2"/>
  <c r="C75" i="2"/>
  <c r="F75" i="2" s="1"/>
  <c r="B85" i="2"/>
  <c r="E85" i="2" s="1"/>
  <c r="B84" i="2"/>
  <c r="E84" i="2" s="1"/>
  <c r="B83" i="2"/>
  <c r="B93" i="2" s="1"/>
  <c r="B79" i="2"/>
  <c r="E79" i="2" s="1"/>
  <c r="B78" i="2"/>
  <c r="B92" i="2" s="1"/>
  <c r="B77" i="2"/>
  <c r="B76" i="2"/>
  <c r="B75" i="2"/>
  <c r="F83" i="2" l="1"/>
  <c r="C93" i="2"/>
  <c r="E83" i="2"/>
  <c r="E86" i="2" s="1"/>
  <c r="E104" i="2"/>
  <c r="F86" i="2"/>
  <c r="C99" i="2"/>
  <c r="F76" i="2"/>
  <c r="C81" i="2"/>
  <c r="C100" i="2"/>
  <c r="F77" i="2"/>
  <c r="B100" i="2"/>
  <c r="E77" i="2"/>
  <c r="B101" i="2"/>
  <c r="E78" i="2"/>
  <c r="C101" i="2"/>
  <c r="F78" i="2"/>
  <c r="B98" i="2"/>
  <c r="E75" i="2"/>
  <c r="B81" i="2"/>
  <c r="B99" i="2"/>
  <c r="E76" i="2"/>
  <c r="B86" i="2"/>
  <c r="B104" i="2"/>
  <c r="C86" i="2"/>
  <c r="C104" i="2"/>
  <c r="C98" i="2"/>
  <c r="E35" i="3"/>
  <c r="B43" i="3"/>
  <c r="B44" i="3" s="1"/>
  <c r="E33" i="3"/>
  <c r="B35" i="3"/>
  <c r="E39" i="3"/>
  <c r="E40" i="3" s="1"/>
  <c r="B32" i="3"/>
  <c r="G9" i="3"/>
  <c r="F9" i="3"/>
  <c r="E9" i="3"/>
  <c r="D9" i="3"/>
  <c r="C9" i="3"/>
  <c r="B9" i="3"/>
  <c r="C14" i="3"/>
  <c r="F81" i="2" l="1"/>
  <c r="F87" i="2" s="1"/>
  <c r="F120" i="2" s="1"/>
  <c r="E81" i="2"/>
  <c r="E87" i="2" s="1"/>
  <c r="E120" i="2" s="1"/>
  <c r="C87" i="2"/>
  <c r="C120" i="2" s="1"/>
  <c r="B87" i="2"/>
  <c r="B120" i="2" s="1"/>
  <c r="C13" i="3"/>
  <c r="G8" i="3"/>
  <c r="F8" i="3"/>
  <c r="E8" i="3"/>
  <c r="D8" i="3"/>
  <c r="C8" i="3"/>
  <c r="B8" i="3" s="1"/>
  <c r="F7" i="3"/>
  <c r="E7" i="3"/>
  <c r="D7" i="3"/>
  <c r="C7" i="3"/>
  <c r="B7" i="3" s="1"/>
  <c r="G7" i="3"/>
  <c r="B22" i="3"/>
  <c r="B33" i="3"/>
  <c r="B137" i="2" l="1"/>
  <c r="H120" i="2"/>
  <c r="C137" i="2"/>
  <c r="I120" i="2"/>
  <c r="B11" i="4"/>
  <c r="B10" i="4"/>
  <c r="B3" i="3" l="1"/>
  <c r="B4" i="3"/>
  <c r="C5" i="3"/>
  <c r="D5" i="3"/>
  <c r="E5" i="3"/>
  <c r="F5" i="3"/>
  <c r="G5" i="3"/>
  <c r="B27" i="2"/>
  <c r="C27" i="2"/>
  <c r="C74" i="2" s="1"/>
  <c r="B38" i="2"/>
  <c r="B127" i="2" s="1"/>
  <c r="C38" i="2"/>
  <c r="C127" i="2" s="1"/>
  <c r="B43" i="2"/>
  <c r="B118" i="2" s="1"/>
  <c r="C43" i="2"/>
  <c r="C118" i="2" s="1"/>
  <c r="B50" i="2"/>
  <c r="C50" i="2"/>
  <c r="C51" i="2" s="1"/>
  <c r="C128" i="2" s="1"/>
  <c r="B51" i="2"/>
  <c r="B128" i="2" s="1"/>
  <c r="B56" i="2"/>
  <c r="D56" i="2" s="1"/>
  <c r="C56" i="2"/>
  <c r="C116" i="2" s="1"/>
  <c r="F116" i="2" s="1"/>
  <c r="B63" i="2"/>
  <c r="B66" i="2" s="1"/>
  <c r="C63" i="2"/>
  <c r="C66" i="2" s="1"/>
  <c r="C12" i="2"/>
  <c r="C13" i="2" s="1"/>
  <c r="C14" i="2" s="1"/>
  <c r="B12" i="2"/>
  <c r="B13" i="2" s="1"/>
  <c r="B14" i="2" s="1"/>
  <c r="B74" i="2" l="1"/>
  <c r="E6" i="2"/>
  <c r="E7" i="2" s="1"/>
  <c r="F97" i="2"/>
  <c r="B91" i="2"/>
  <c r="B94" i="2" s="1"/>
  <c r="B95" i="2" s="1"/>
  <c r="G97" i="2"/>
  <c r="C91" i="2"/>
  <c r="C94" i="2" s="1"/>
  <c r="C95" i="2" s="1"/>
  <c r="B136" i="2"/>
  <c r="B139" i="2" s="1"/>
  <c r="B145" i="2" s="1"/>
  <c r="E118" i="2"/>
  <c r="H118" i="2" s="1"/>
  <c r="B116" i="2"/>
  <c r="E116" i="2" s="1"/>
  <c r="H116" i="2"/>
  <c r="C136" i="2"/>
  <c r="C139" i="2" s="1"/>
  <c r="C145" i="2" s="1"/>
  <c r="F118" i="2"/>
  <c r="I118" i="2" s="1"/>
  <c r="C126" i="2"/>
  <c r="B126" i="2"/>
  <c r="B16" i="2"/>
  <c r="B18" i="2" s="1"/>
  <c r="B20" i="2" s="1"/>
  <c r="B22" i="2" s="1"/>
  <c r="B133" i="2"/>
  <c r="C16" i="2"/>
  <c r="C18" i="2" s="1"/>
  <c r="C20" i="2" s="1"/>
  <c r="C22" i="2" s="1"/>
  <c r="C133" i="2"/>
  <c r="C97" i="2"/>
  <c r="C102" i="2" s="1"/>
  <c r="F74" i="2"/>
  <c r="B97" i="2"/>
  <c r="B102" i="2" s="1"/>
  <c r="E74" i="2"/>
  <c r="B68" i="2"/>
  <c r="D68" i="2" s="1"/>
  <c r="B112" i="2"/>
  <c r="C68" i="2"/>
  <c r="C112" i="2"/>
  <c r="C105" i="2"/>
  <c r="C57" i="2"/>
  <c r="C69" i="2" s="1"/>
  <c r="B57" i="2"/>
  <c r="B5" i="3"/>
  <c r="C117" i="2" l="1"/>
  <c r="C140" i="2" s="1"/>
  <c r="F112" i="2"/>
  <c r="B117" i="2"/>
  <c r="B140" i="2" s="1"/>
  <c r="D140" i="2" s="1"/>
  <c r="E112" i="2"/>
  <c r="B69" i="2"/>
  <c r="C144" i="2"/>
  <c r="C146" i="2" s="1"/>
  <c r="C141" i="2"/>
  <c r="C119" i="2"/>
  <c r="C121" i="2" s="1"/>
  <c r="C122" i="2" s="1"/>
  <c r="B105" i="2"/>
  <c r="B144" i="2"/>
  <c r="B146" i="2" s="1"/>
  <c r="B141" i="2"/>
  <c r="B119" i="2" l="1"/>
  <c r="B121" i="2" s="1"/>
  <c r="B122" i="2" s="1"/>
  <c r="I112" i="2"/>
  <c r="I115" i="2" s="1"/>
  <c r="I117" i="2" s="1"/>
  <c r="I119" i="2" s="1"/>
  <c r="I121" i="2" s="1"/>
  <c r="I122" i="2" s="1"/>
  <c r="F117" i="2"/>
  <c r="F119" i="2" s="1"/>
  <c r="F121" i="2" s="1"/>
  <c r="F122" i="2" s="1"/>
  <c r="H112" i="2"/>
  <c r="E117" i="2"/>
  <c r="E119" i="2" s="1"/>
  <c r="E121" i="2" s="1"/>
  <c r="E122" i="2" s="1"/>
  <c r="H115" i="2" l="1"/>
  <c r="H117" i="2" s="1"/>
  <c r="H119" i="2" s="1"/>
  <c r="H121" i="2" s="1"/>
  <c r="H122" i="2" s="1"/>
</calcChain>
</file>

<file path=xl/sharedStrings.xml><?xml version="1.0" encoding="utf-8"?>
<sst xmlns="http://schemas.openxmlformats.org/spreadsheetml/2006/main" count="195" uniqueCount="175">
  <si>
    <t>Industria de Diseno Textil SA | Income Statement | Thomson Reuters Eikon                                07-Jan-2019 14:40</t>
  </si>
  <si>
    <t>Income Statement</t>
  </si>
  <si>
    <t>Annual As Reported in Millions of Euros</t>
  </si>
  <si>
    <t>Total Revenue</t>
  </si>
  <si>
    <t>Inventories</t>
  </si>
  <si>
    <t>Cost of Sales</t>
  </si>
  <si>
    <t>Personnel Costs</t>
  </si>
  <si>
    <t>Amortisation and depreciation</t>
  </si>
  <si>
    <t>Rental Expense</t>
  </si>
  <si>
    <t>Other net operating income (losses)</t>
  </si>
  <si>
    <t>Interest Expense</t>
  </si>
  <si>
    <t>Net Income Before Taxes</t>
  </si>
  <si>
    <t>Provision for Income Taxes</t>
  </si>
  <si>
    <t>Other operating services and supplies</t>
  </si>
  <si>
    <t>Impairement losses</t>
  </si>
  <si>
    <t>Operating profit</t>
  </si>
  <si>
    <t>Operating Expense</t>
  </si>
  <si>
    <t>Other extra items</t>
  </si>
  <si>
    <t>Profit before taxes</t>
  </si>
  <si>
    <t>Consolidated net income</t>
  </si>
  <si>
    <t>Income attributable to non-controlling interests</t>
  </si>
  <si>
    <t>Net income attributable to the parent</t>
  </si>
  <si>
    <t>Total Liabilities &amp; Shareholders' Equity</t>
  </si>
  <si>
    <t>Total equity</t>
  </si>
  <si>
    <t>Minority interests</t>
  </si>
  <si>
    <t>Total Equity attributable to parent</t>
  </si>
  <si>
    <t>Retained Earnings</t>
  </si>
  <si>
    <t>Adjustment - Exchange</t>
  </si>
  <si>
    <t>Reserves</t>
  </si>
  <si>
    <t>Own Shares</t>
  </si>
  <si>
    <t>Share Premium</t>
  </si>
  <si>
    <t>Capital</t>
  </si>
  <si>
    <t>Shareholders Equity (€ Millions)</t>
  </si>
  <si>
    <t>Total Liabilities</t>
  </si>
  <si>
    <t>Non-Current Liabilities</t>
  </si>
  <si>
    <t>Other Liability</t>
  </si>
  <si>
    <t>LT Provisions</t>
  </si>
  <si>
    <t>Deferred taxes</t>
  </si>
  <si>
    <t>Long term financial debt</t>
  </si>
  <si>
    <t>Current Liabilities</t>
  </si>
  <si>
    <t>Other non-trade current liabilities</t>
  </si>
  <si>
    <t>Tax Payable</t>
  </si>
  <si>
    <t>Salaries</t>
  </si>
  <si>
    <t>Total Accounts Payable</t>
  </si>
  <si>
    <t>Short term financial debt</t>
  </si>
  <si>
    <t>Liabilities (€ Millions)</t>
  </si>
  <si>
    <t>Total Assets</t>
  </si>
  <si>
    <t>Fixed assets</t>
  </si>
  <si>
    <t>Other LT Assets, Total</t>
  </si>
  <si>
    <t>Construction in Progress, Gross</t>
  </si>
  <si>
    <t>Deferred Tax</t>
  </si>
  <si>
    <t>Goodwill</t>
  </si>
  <si>
    <t>Total Current Assets</t>
  </si>
  <si>
    <t>Other Current Assets</t>
  </si>
  <si>
    <t>Cash</t>
  </si>
  <si>
    <t>Equivalents to cash</t>
  </si>
  <si>
    <t>Short term investments</t>
  </si>
  <si>
    <t>Financial Assets</t>
  </si>
  <si>
    <t>Tax Receivable</t>
  </si>
  <si>
    <t>Trade Receivables</t>
  </si>
  <si>
    <t>Finished Goods</t>
  </si>
  <si>
    <t>WIP</t>
  </si>
  <si>
    <t>Raw Materials</t>
  </si>
  <si>
    <t>Assets (€ Millions)</t>
  </si>
  <si>
    <t>Balance Sheet</t>
  </si>
  <si>
    <t>NPV B</t>
  </si>
  <si>
    <t>NPV A</t>
  </si>
  <si>
    <t>Cost of capital</t>
  </si>
  <si>
    <t>B</t>
  </si>
  <si>
    <t>A</t>
  </si>
  <si>
    <t>IRR</t>
  </si>
  <si>
    <t>1B</t>
  </si>
  <si>
    <t>2B</t>
  </si>
  <si>
    <t>Net income</t>
  </si>
  <si>
    <t>Increase receivables</t>
  </si>
  <si>
    <t>Depreciation</t>
  </si>
  <si>
    <t>Increase in payables</t>
  </si>
  <si>
    <t>Increase in WCR</t>
  </si>
  <si>
    <t>3A</t>
  </si>
  <si>
    <t>4B</t>
  </si>
  <si>
    <t>5A</t>
  </si>
  <si>
    <t>B-A</t>
  </si>
  <si>
    <t>NPV of B is higher than project B is better from a financial point of view</t>
  </si>
  <si>
    <t>Question 1</t>
  </si>
  <si>
    <t>Question 2</t>
  </si>
  <si>
    <t>MV Equity</t>
  </si>
  <si>
    <t>MV Debt</t>
  </si>
  <si>
    <t>Unlevered beta</t>
  </si>
  <si>
    <t>Market risk premium</t>
  </si>
  <si>
    <t>Risk free rate</t>
  </si>
  <si>
    <t>Spread</t>
  </si>
  <si>
    <t>Cost of debt</t>
  </si>
  <si>
    <t>tax rate</t>
  </si>
  <si>
    <t>Calculation:</t>
  </si>
  <si>
    <t>Levered beta</t>
  </si>
  <si>
    <t>Cost of equity</t>
  </si>
  <si>
    <t>WACC</t>
  </si>
  <si>
    <t>Total</t>
  </si>
  <si>
    <t>Cost of unlevered equity</t>
  </si>
  <si>
    <t>Cost of equity using M&amp;M</t>
  </si>
  <si>
    <t>ke=ku+(ku-kd)*D/E*(1-t)</t>
  </si>
  <si>
    <t>1) WACC using M&amp;M formula:</t>
  </si>
  <si>
    <t>2) Other alternative using M&amp;M</t>
  </si>
  <si>
    <t>Alternative solutions using M&amp;M</t>
  </si>
  <si>
    <t>ku=rf+Bu*RiskPremium</t>
  </si>
  <si>
    <t>km=ku-ku*t*D/(D+E)</t>
  </si>
  <si>
    <t>Bd</t>
  </si>
  <si>
    <t>Be=Bu+(Bu-Bd)*D/E*(1-t)</t>
  </si>
  <si>
    <t>Be</t>
  </si>
  <si>
    <t>If Bd=0,6 the Hamada approach is identical to M&amp;M approach:</t>
  </si>
  <si>
    <t>WCR</t>
  </si>
  <si>
    <t>Question 1 - WCR</t>
  </si>
  <si>
    <t>Operating assets</t>
  </si>
  <si>
    <t>Operating liabilities</t>
  </si>
  <si>
    <t>Question 2 - Core trade cycle</t>
  </si>
  <si>
    <t>Question 3 - NLB</t>
  </si>
  <si>
    <t>Equity</t>
  </si>
  <si>
    <t>Long term liabilities</t>
  </si>
  <si>
    <t xml:space="preserve">   Long term financing</t>
  </si>
  <si>
    <t>NLB</t>
  </si>
  <si>
    <t>WC</t>
  </si>
  <si>
    <t>Current ratio</t>
  </si>
  <si>
    <t xml:space="preserve">   Current assets</t>
  </si>
  <si>
    <t xml:space="preserve">   Current liabilities</t>
  </si>
  <si>
    <t>Question 4 - Profitability</t>
  </si>
  <si>
    <t>Invested capital</t>
  </si>
  <si>
    <t xml:space="preserve">   Fixed asset</t>
  </si>
  <si>
    <t xml:space="preserve">   WCR</t>
  </si>
  <si>
    <t xml:space="preserve">   Cash &amp; equivalents</t>
  </si>
  <si>
    <t>Other current assets</t>
  </si>
  <si>
    <t xml:space="preserve">   Invested capital</t>
  </si>
  <si>
    <t>ROIC</t>
  </si>
  <si>
    <t>Revenue</t>
  </si>
  <si>
    <t>Operating margin ratio</t>
  </si>
  <si>
    <t>Capital turnover</t>
  </si>
  <si>
    <t xml:space="preserve">   ROIC</t>
  </si>
  <si>
    <t xml:space="preserve">   Capital employed</t>
  </si>
  <si>
    <t>or</t>
  </si>
  <si>
    <t>Question 5 - Recommendation</t>
  </si>
  <si>
    <t>Recommendation is a buy because:</t>
  </si>
  <si>
    <t>Good efficiency in managing the cash conversion cycle with suppliers financing the entire cycle and improvement from 1 day in 2016 to 1,6 days in 2017.</t>
  </si>
  <si>
    <t>Eventually could not be considered as trade</t>
  </si>
  <si>
    <t>NLB/Revenues %</t>
  </si>
  <si>
    <t>Any of the options to calculate WCR the NLB is positive is both years and improved from 2016 to 2017, but stable in % of sales</t>
  </si>
  <si>
    <t>Current ratio indicates the same as NLB, good level of liquidity. The current ratio improved from 2016 to 2017</t>
  </si>
  <si>
    <t>Good profitability with ROIC higher than 25% and improving from 2016 to 2017.</t>
  </si>
  <si>
    <t>LT Deffered taxes</t>
  </si>
  <si>
    <t>My prefered solution</t>
  </si>
  <si>
    <t>Equity adjusted</t>
  </si>
  <si>
    <t>Raw Materials Days of Sales</t>
  </si>
  <si>
    <t>WIP Days of Sales</t>
  </si>
  <si>
    <t>Finished Goods Days of Sales</t>
  </si>
  <si>
    <t>Trade Receivables Days of Sales</t>
  </si>
  <si>
    <t>Total Accounts Payable Days of Sales</t>
  </si>
  <si>
    <t>Based on cost of sales</t>
  </si>
  <si>
    <t>Cost of sales is different from cost of goods sold</t>
  </si>
  <si>
    <t>Inventories Days of Sales</t>
  </si>
  <si>
    <t>Core WCR</t>
  </si>
  <si>
    <t>Core WCR in days of sales</t>
  </si>
  <si>
    <t>Detailed:</t>
  </si>
  <si>
    <t>Problem of using purchases is that you are unable to calculate for 2016</t>
  </si>
  <si>
    <t>Purchases 2017:</t>
  </si>
  <si>
    <t>Purchase and services 2017</t>
  </si>
  <si>
    <t xml:space="preserve">This improvement was a result of improving the inventory management in 1,2 days and collection period of 2,3 days, however paying better in 2,8 days </t>
  </si>
  <si>
    <t>NLB evidences a strong financial position with most of the long term financing being equity. As a consequence evidences low financial risk</t>
  </si>
  <si>
    <t>Operating margin ratio had a small reduction of 0,2% to 17% and improvement of capital turnover based on the increase of sales.</t>
  </si>
  <si>
    <t>Growth rate of sales was 8,7% while invested capital only 3,9%.</t>
  </si>
  <si>
    <t xml:space="preserve">   - Good profitability with ROIC around 25% which might be higher than the required returns by the investor. Return is based in good margin ratio and capital turnover and with improvement from 2016 to 2017</t>
  </si>
  <si>
    <t xml:space="preserve">   - Growth of revenues is 8,7% higher than the world economy and any of EU countries growth.</t>
  </si>
  <si>
    <t xml:space="preserve">   - Strongh financial position with most of long term financing being equity based. The financial strenght based on good level of liquidity and improvement from 2016 to 2017</t>
  </si>
  <si>
    <t xml:space="preserve">   - Good level efficiency in managing cash conversion cycle, with suppliers financing the trade cycle and there was a small improvement from 2016 to 2017</t>
  </si>
  <si>
    <t>NPV is the better measure to analyse this value created by these projects: same number of years and similar size.</t>
  </si>
  <si>
    <t>There was several options for this excercise as is above. You could choose one.</t>
  </si>
  <si>
    <t xml:space="preserve">   Operating cash flow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</si>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</sst>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164" formatCode="#,##0_);[Red]\(#,##0\)"/>
    <numFmt numFmtId="165" formatCode="0.0%"/>
    <numFmt numFmtId="166" formatCode="0.000%"/>
    <numFmt numFmtId="167" formatCode="0.0"/>
    <numFmt numFmtId="168" formatCode="#,##0.0_);[Red]\(#,##0.0\)"/>
    <numFmt numFmtId="169" formatCode="#,##0.00_);[Red]\(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BC4EA"/>
        <bgColor indexed="64"/>
      </patternFill>
    </fill>
    <fill>
      <patternFill patternType="solid">
        <fgColor rgb="FFC8D7D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Border="1" applyAlignment="1">
      <alignment horizontal="left"/>
    </xf>
    <xf numFmtId="164" fontId="19" fillId="0" borderId="0" xfId="0" applyNumberFormat="1" applyFont="1" applyBorder="1" applyAlignment="1">
      <alignment horizontal="right" wrapText="1"/>
    </xf>
    <xf numFmtId="0" fontId="20" fillId="33" borderId="10" xfId="0" applyFont="1" applyFill="1" applyBorder="1" applyAlignment="1"/>
    <xf numFmtId="0" fontId="20" fillId="33" borderId="10" xfId="0" applyFont="1" applyFill="1" applyBorder="1" applyAlignment="1">
      <alignment horizontal="right"/>
    </xf>
    <xf numFmtId="0" fontId="20" fillId="0" borderId="10" xfId="0" applyFont="1" applyBorder="1" applyAlignment="1">
      <alignment horizontal="left"/>
    </xf>
    <xf numFmtId="164" fontId="20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left"/>
    </xf>
    <xf numFmtId="164" fontId="19" fillId="0" borderId="10" xfId="0" applyNumberFormat="1" applyFont="1" applyBorder="1" applyAlignment="1">
      <alignment horizontal="right" wrapText="1"/>
    </xf>
    <xf numFmtId="0" fontId="19" fillId="34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 indent="2"/>
    </xf>
    <xf numFmtId="0" fontId="0" fillId="0" borderId="10" xfId="0" applyBorder="1"/>
    <xf numFmtId="0" fontId="16" fillId="0" borderId="0" xfId="0" applyFont="1"/>
    <xf numFmtId="164" fontId="0" fillId="0" borderId="0" xfId="0" applyNumberFormat="1"/>
    <xf numFmtId="0" fontId="19" fillId="0" borderId="10" xfId="0" applyFont="1" applyBorder="1"/>
    <xf numFmtId="164" fontId="19" fillId="0" borderId="10" xfId="0" applyNumberFormat="1" applyFont="1" applyBorder="1"/>
    <xf numFmtId="0" fontId="19" fillId="0" borderId="10" xfId="0" applyFont="1" applyFill="1" applyBorder="1" applyAlignment="1">
      <alignment horizontal="left" indent="2"/>
    </xf>
    <xf numFmtId="167" fontId="0" fillId="0" borderId="0" xfId="0" applyNumberFormat="1"/>
    <xf numFmtId="167" fontId="19" fillId="0" borderId="10" xfId="0" applyNumberFormat="1" applyFont="1" applyBorder="1"/>
    <xf numFmtId="0" fontId="19" fillId="0" borderId="0" xfId="0" applyFont="1" applyFill="1" applyBorder="1"/>
    <xf numFmtId="0" fontId="19" fillId="0" borderId="10" xfId="0" applyFont="1" applyFill="1" applyBorder="1"/>
    <xf numFmtId="0" fontId="0" fillId="0" borderId="0" xfId="0" applyAlignment="1">
      <alignment horizontal="center"/>
    </xf>
    <xf numFmtId="167" fontId="20" fillId="0" borderId="10" xfId="0" applyNumberFormat="1" applyFont="1" applyBorder="1"/>
    <xf numFmtId="2" fontId="20" fillId="0" borderId="10" xfId="0" applyNumberFormat="1" applyFont="1" applyBorder="1"/>
    <xf numFmtId="0" fontId="20" fillId="0" borderId="0" xfId="0" applyFont="1" applyFill="1" applyBorder="1"/>
    <xf numFmtId="0" fontId="20" fillId="0" borderId="10" xfId="0" applyFont="1" applyFill="1" applyBorder="1" applyAlignment="1">
      <alignment horizontal="left" indent="2"/>
    </xf>
    <xf numFmtId="164" fontId="20" fillId="0" borderId="10" xfId="0" applyNumberFormat="1" applyFont="1" applyBorder="1"/>
    <xf numFmtId="0" fontId="21" fillId="0" borderId="11" xfId="0" applyFont="1" applyBorder="1" applyAlignment="1">
      <alignment wrapText="1"/>
    </xf>
    <xf numFmtId="0" fontId="19" fillId="0" borderId="14" xfId="0" applyFont="1" applyFill="1" applyBorder="1"/>
    <xf numFmtId="0" fontId="20" fillId="0" borderId="10" xfId="0" applyFont="1" applyFill="1" applyBorder="1"/>
    <xf numFmtId="165" fontId="19" fillId="0" borderId="10" xfId="42" applyNumberFormat="1" applyFont="1" applyBorder="1"/>
    <xf numFmtId="164" fontId="19" fillId="0" borderId="0" xfId="0" applyNumberFormat="1" applyFont="1"/>
    <xf numFmtId="165" fontId="19" fillId="0" borderId="0" xfId="42" applyNumberFormat="1" applyFont="1"/>
    <xf numFmtId="2" fontId="19" fillId="0" borderId="10" xfId="42" applyNumberFormat="1" applyFont="1" applyBorder="1"/>
    <xf numFmtId="0" fontId="20" fillId="0" borderId="0" xfId="0" applyFont="1"/>
    <xf numFmtId="0" fontId="20" fillId="0" borderId="10" xfId="0" applyFont="1" applyBorder="1"/>
    <xf numFmtId="168" fontId="19" fillId="0" borderId="10" xfId="0" applyNumberFormat="1" applyFont="1" applyBorder="1"/>
    <xf numFmtId="0" fontId="20" fillId="34" borderId="10" xfId="0" applyFont="1" applyFill="1" applyBorder="1" applyAlignment="1">
      <alignment horizontal="left"/>
    </xf>
    <xf numFmtId="169" fontId="19" fillId="0" borderId="10" xfId="0" applyNumberFormat="1" applyFont="1" applyBorder="1"/>
    <xf numFmtId="0" fontId="20" fillId="0" borderId="10" xfId="0" applyFont="1" applyBorder="1" applyAlignment="1">
      <alignment horizontal="center"/>
    </xf>
    <xf numFmtId="165" fontId="19" fillId="0" borderId="10" xfId="0" applyNumberFormat="1" applyFont="1" applyBorder="1"/>
    <xf numFmtId="3" fontId="19" fillId="0" borderId="10" xfId="0" applyNumberFormat="1" applyFont="1" applyBorder="1"/>
    <xf numFmtId="165" fontId="19" fillId="0" borderId="0" xfId="0" applyNumberFormat="1" applyFont="1" applyBorder="1"/>
    <xf numFmtId="1" fontId="19" fillId="0" borderId="0" xfId="0" applyNumberFormat="1" applyFont="1"/>
    <xf numFmtId="9" fontId="19" fillId="0" borderId="0" xfId="0" applyNumberFormat="1" applyFont="1"/>
    <xf numFmtId="8" fontId="19" fillId="0" borderId="0" xfId="0" applyNumberFormat="1" applyFont="1"/>
    <xf numFmtId="165" fontId="19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wrapText="1"/>
    </xf>
    <xf numFmtId="10" fontId="19" fillId="0" borderId="0" xfId="42" applyNumberFormat="1" applyFont="1"/>
    <xf numFmtId="166" fontId="20" fillId="0" borderId="0" xfId="42" applyNumberFormat="1" applyFont="1"/>
    <xf numFmtId="0" fontId="19" fillId="0" borderId="0" xfId="0" applyFont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9" fillId="0" borderId="0" xfId="0" applyFont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29</xdr:row>
          <xdr:rowOff>152400</xdr:rowOff>
        </xdr:from>
        <xdr:to>
          <xdr:col>8</xdr:col>
          <xdr:colOff>38100</xdr:colOff>
          <xdr:row>32</xdr:row>
          <xdr:rowOff>158750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304800</xdr:rowOff>
    </xdr:to>
    <xdr:sp macro="" textlink="">
      <xdr:nvSpPr>
        <xdr:cNvPr id="2050" name="AutoShape 2" descr="r_{E}=r_{0}+{\frac  {D}{E}}(r_{0}-r_{D})(1-T_{C})"/>
        <xdr:cNvSpPr>
          <a:spLocks noChangeAspect="1" noChangeArrowheads="1"/>
        </xdr:cNvSpPr>
      </xdr:nvSpPr>
      <xdr:spPr bwMode="auto">
        <a:xfrm>
          <a:off x="6838950" y="699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304800</xdr:rowOff>
    </xdr:to>
    <xdr:sp macro="" textlink="">
      <xdr:nvSpPr>
        <xdr:cNvPr id="2052" name="AutoShape 4" descr="r_{E}=r_{0}+{\frac  {D}{E}}(r_{0}-r_{D})(1-T_{C})"/>
        <xdr:cNvSpPr>
          <a:spLocks noChangeAspect="1" noChangeArrowheads="1"/>
        </xdr:cNvSpPr>
      </xdr:nvSpPr>
      <xdr:spPr bwMode="auto">
        <a:xfrm>
          <a:off x="6838950" y="699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showGridLines="0" tabSelected="1" workbookViewId="0">
      <selection activeCell="A159" sqref="A159"/>
    </sheetView>
  </sheetViews>
  <sheetFormatPr defaultRowHeight="14.5" x14ac:dyDescent="0.35"/>
  <cols>
    <col min="1" max="1" width="33.453125" bestFit="1" customWidth="1"/>
    <col min="2" max="9" width="11.6328125" customWidth="1"/>
  </cols>
  <sheetData>
    <row r="1" spans="1:6" x14ac:dyDescent="0.35">
      <c r="A1" s="1" t="s">
        <v>0</v>
      </c>
    </row>
    <row r="2" spans="1:6" x14ac:dyDescent="0.35">
      <c r="A2" s="37" t="s">
        <v>1</v>
      </c>
    </row>
    <row r="3" spans="1:6" x14ac:dyDescent="0.35">
      <c r="A3" s="2" t="s">
        <v>2</v>
      </c>
    </row>
    <row r="4" spans="1:6" x14ac:dyDescent="0.35">
      <c r="A4" s="5"/>
      <c r="B4" s="6">
        <v>2017</v>
      </c>
      <c r="C4" s="6">
        <v>2016</v>
      </c>
    </row>
    <row r="5" spans="1:6" x14ac:dyDescent="0.35">
      <c r="A5" s="7" t="s">
        <v>3</v>
      </c>
      <c r="B5" s="8">
        <v>25336</v>
      </c>
      <c r="C5" s="8">
        <v>23311</v>
      </c>
    </row>
    <row r="6" spans="1:6" x14ac:dyDescent="0.35">
      <c r="A6" s="9" t="s">
        <v>5</v>
      </c>
      <c r="B6" s="10">
        <v>-11076</v>
      </c>
      <c r="C6" s="10">
        <v>-10032</v>
      </c>
      <c r="D6" s="2" t="s">
        <v>161</v>
      </c>
      <c r="E6" s="16">
        <f>+B6+(-B27+C27)</f>
        <v>-11212</v>
      </c>
      <c r="F6" s="57" t="s">
        <v>160</v>
      </c>
    </row>
    <row r="7" spans="1:6" x14ac:dyDescent="0.35">
      <c r="A7" s="9" t="s">
        <v>6</v>
      </c>
      <c r="B7" s="10">
        <v>-3961</v>
      </c>
      <c r="C7" s="10">
        <v>-3643</v>
      </c>
      <c r="D7" s="2" t="s">
        <v>162</v>
      </c>
      <c r="E7" s="16">
        <f>+E6+B9</f>
        <v>-13837</v>
      </c>
      <c r="F7" s="57"/>
    </row>
    <row r="8" spans="1:6" x14ac:dyDescent="0.35">
      <c r="A8" s="9" t="s">
        <v>8</v>
      </c>
      <c r="B8" s="10">
        <v>-2358</v>
      </c>
      <c r="C8" s="10">
        <v>-2221</v>
      </c>
      <c r="D8" s="16"/>
    </row>
    <row r="9" spans="1:6" x14ac:dyDescent="0.35">
      <c r="A9" s="9" t="s">
        <v>13</v>
      </c>
      <c r="B9" s="10">
        <v>-2625</v>
      </c>
      <c r="C9" s="10">
        <v>-2312</v>
      </c>
    </row>
    <row r="10" spans="1:6" x14ac:dyDescent="0.35">
      <c r="A10" s="9" t="s">
        <v>7</v>
      </c>
      <c r="B10" s="10">
        <v>-966</v>
      </c>
      <c r="C10" s="10">
        <v>-832</v>
      </c>
    </row>
    <row r="11" spans="1:6" x14ac:dyDescent="0.35">
      <c r="A11" s="9" t="s">
        <v>14</v>
      </c>
      <c r="B11" s="10">
        <v>-114</v>
      </c>
      <c r="C11" s="10">
        <v>-36</v>
      </c>
    </row>
    <row r="12" spans="1:6" x14ac:dyDescent="0.35">
      <c r="A12" s="9" t="s">
        <v>9</v>
      </c>
      <c r="B12" s="10">
        <f>38+41</f>
        <v>79</v>
      </c>
      <c r="C12" s="10">
        <f>20-234</f>
        <v>-214</v>
      </c>
    </row>
    <row r="13" spans="1:6" x14ac:dyDescent="0.35">
      <c r="A13" s="7" t="s">
        <v>16</v>
      </c>
      <c r="B13" s="8">
        <f>SUM(B6:B12)</f>
        <v>-21021</v>
      </c>
      <c r="C13" s="8">
        <f t="shared" ref="C13" si="0">SUM(C6:C12)</f>
        <v>-19290</v>
      </c>
    </row>
    <row r="14" spans="1:6" x14ac:dyDescent="0.35">
      <c r="A14" s="7" t="s">
        <v>15</v>
      </c>
      <c r="B14" s="8">
        <f>+B5+B13</f>
        <v>4315</v>
      </c>
      <c r="C14" s="8">
        <f t="shared" ref="C14" si="1">+C5+C13</f>
        <v>4021</v>
      </c>
    </row>
    <row r="15" spans="1:6" x14ac:dyDescent="0.35">
      <c r="A15" s="9" t="s">
        <v>10</v>
      </c>
      <c r="B15" s="10">
        <v>-10</v>
      </c>
      <c r="C15" s="10">
        <v>-8</v>
      </c>
    </row>
    <row r="16" spans="1:6" x14ac:dyDescent="0.35">
      <c r="A16" s="7" t="s">
        <v>18</v>
      </c>
      <c r="B16" s="8">
        <f>+B14+B15</f>
        <v>4305</v>
      </c>
      <c r="C16" s="8">
        <f t="shared" ref="C16" si="2">+C14+C15</f>
        <v>4013</v>
      </c>
    </row>
    <row r="17" spans="1:3" x14ac:dyDescent="0.35">
      <c r="A17" s="9" t="s">
        <v>17</v>
      </c>
      <c r="B17" s="10">
        <v>46</v>
      </c>
      <c r="C17" s="10">
        <v>65</v>
      </c>
    </row>
    <row r="18" spans="1:3" x14ac:dyDescent="0.35">
      <c r="A18" s="7" t="s">
        <v>11</v>
      </c>
      <c r="B18" s="8">
        <f>+B16+B17</f>
        <v>4351</v>
      </c>
      <c r="C18" s="8">
        <f t="shared" ref="C18" si="3">+C16+C17</f>
        <v>4078</v>
      </c>
    </row>
    <row r="19" spans="1:3" x14ac:dyDescent="0.35">
      <c r="A19" s="9" t="s">
        <v>12</v>
      </c>
      <c r="B19" s="10">
        <v>-979</v>
      </c>
      <c r="C19" s="10">
        <v>-917</v>
      </c>
    </row>
    <row r="20" spans="1:3" x14ac:dyDescent="0.35">
      <c r="A20" s="7" t="s">
        <v>19</v>
      </c>
      <c r="B20" s="8">
        <f>+B18+B19</f>
        <v>3372</v>
      </c>
      <c r="C20" s="8">
        <f t="shared" ref="C20" si="4">+C18+C19</f>
        <v>3161</v>
      </c>
    </row>
    <row r="21" spans="1:3" x14ac:dyDescent="0.35">
      <c r="A21" s="9" t="s">
        <v>20</v>
      </c>
      <c r="B21" s="10">
        <v>-5</v>
      </c>
      <c r="C21" s="10">
        <v>-4</v>
      </c>
    </row>
    <row r="22" spans="1:3" x14ac:dyDescent="0.35">
      <c r="A22" s="7" t="s">
        <v>21</v>
      </c>
      <c r="B22" s="8">
        <f>+B20+B21</f>
        <v>3367</v>
      </c>
      <c r="C22" s="8">
        <f t="shared" ref="C22" si="5">+C20+C21</f>
        <v>3157</v>
      </c>
    </row>
    <row r="23" spans="1:3" x14ac:dyDescent="0.35">
      <c r="A23" s="3"/>
      <c r="B23" s="4"/>
      <c r="C23" s="4"/>
    </row>
    <row r="24" spans="1:3" x14ac:dyDescent="0.35">
      <c r="A24" s="37" t="s">
        <v>64</v>
      </c>
    </row>
    <row r="25" spans="1:3" x14ac:dyDescent="0.35">
      <c r="A25" s="5"/>
      <c r="B25" s="6">
        <v>2017</v>
      </c>
      <c r="C25" s="6">
        <v>2016</v>
      </c>
    </row>
    <row r="26" spans="1:3" x14ac:dyDescent="0.35">
      <c r="A26" s="40" t="s">
        <v>63</v>
      </c>
      <c r="B26" s="11"/>
      <c r="C26" s="11"/>
    </row>
    <row r="27" spans="1:3" x14ac:dyDescent="0.35">
      <c r="A27" s="9" t="s">
        <v>4</v>
      </c>
      <c r="B27" s="10">
        <f>SUM(B28:B30)</f>
        <v>2685</v>
      </c>
      <c r="C27" s="10">
        <f>SUM(C28:C30)</f>
        <v>2549</v>
      </c>
    </row>
    <row r="28" spans="1:3" x14ac:dyDescent="0.35">
      <c r="A28" s="13" t="s">
        <v>62</v>
      </c>
      <c r="B28" s="10">
        <v>101</v>
      </c>
      <c r="C28" s="10">
        <v>96</v>
      </c>
    </row>
    <row r="29" spans="1:3" x14ac:dyDescent="0.35">
      <c r="A29" s="13" t="s">
        <v>61</v>
      </c>
      <c r="B29" s="10">
        <v>28</v>
      </c>
      <c r="C29" s="10">
        <v>33</v>
      </c>
    </row>
    <row r="30" spans="1:3" x14ac:dyDescent="0.35">
      <c r="A30" s="13" t="s">
        <v>60</v>
      </c>
      <c r="B30" s="10">
        <v>2556</v>
      </c>
      <c r="C30" s="10">
        <v>2420</v>
      </c>
    </row>
    <row r="31" spans="1:3" x14ac:dyDescent="0.35">
      <c r="A31" s="9" t="s">
        <v>59</v>
      </c>
      <c r="B31" s="10">
        <v>778</v>
      </c>
      <c r="C31" s="10">
        <v>861</v>
      </c>
    </row>
    <row r="32" spans="1:3" x14ac:dyDescent="0.35">
      <c r="A32" s="9" t="s">
        <v>58</v>
      </c>
      <c r="B32" s="10">
        <v>110</v>
      </c>
      <c r="C32" s="10">
        <v>107</v>
      </c>
    </row>
    <row r="33" spans="1:5" x14ac:dyDescent="0.35">
      <c r="A33" s="9" t="s">
        <v>57</v>
      </c>
      <c r="B33" s="10">
        <v>11</v>
      </c>
      <c r="C33" s="10">
        <v>87</v>
      </c>
    </row>
    <row r="34" spans="1:5" x14ac:dyDescent="0.35">
      <c r="A34" s="9" t="s">
        <v>56</v>
      </c>
      <c r="B34" s="10">
        <v>1472</v>
      </c>
      <c r="C34" s="10">
        <v>2037</v>
      </c>
    </row>
    <row r="35" spans="1:5" x14ac:dyDescent="0.35">
      <c r="A35" s="9" t="s">
        <v>55</v>
      </c>
      <c r="B35" s="10">
        <v>3006</v>
      </c>
      <c r="C35" s="10">
        <v>2309</v>
      </c>
      <c r="D35" s="16"/>
      <c r="E35" s="16"/>
    </row>
    <row r="36" spans="1:5" x14ac:dyDescent="0.35">
      <c r="A36" s="9" t="s">
        <v>54</v>
      </c>
      <c r="B36" s="10">
        <v>1925</v>
      </c>
      <c r="C36" s="10">
        <v>1807</v>
      </c>
      <c r="D36" s="16"/>
      <c r="E36" s="16"/>
    </row>
    <row r="37" spans="1:5" x14ac:dyDescent="0.35">
      <c r="A37" s="9" t="s">
        <v>53</v>
      </c>
      <c r="B37" s="10">
        <v>160</v>
      </c>
      <c r="C37" s="10">
        <v>141</v>
      </c>
    </row>
    <row r="38" spans="1:5" x14ac:dyDescent="0.35">
      <c r="A38" s="7" t="s">
        <v>52</v>
      </c>
      <c r="B38" s="8">
        <f>SUM(B28:B37)</f>
        <v>10147</v>
      </c>
      <c r="C38" s="8">
        <f>SUM(C28:C37)</f>
        <v>9898</v>
      </c>
    </row>
    <row r="39" spans="1:5" x14ac:dyDescent="0.35">
      <c r="A39" s="9" t="s">
        <v>51</v>
      </c>
      <c r="B39" s="10">
        <v>207</v>
      </c>
      <c r="C39" s="10">
        <v>196</v>
      </c>
    </row>
    <row r="40" spans="1:5" x14ac:dyDescent="0.35">
      <c r="A40" s="9" t="s">
        <v>50</v>
      </c>
      <c r="B40" s="10">
        <v>744</v>
      </c>
      <c r="C40" s="10">
        <v>722</v>
      </c>
    </row>
    <row r="41" spans="1:5" x14ac:dyDescent="0.35">
      <c r="A41" s="9" t="s">
        <v>49</v>
      </c>
      <c r="B41" s="10">
        <v>387</v>
      </c>
      <c r="C41" s="10">
        <v>321</v>
      </c>
    </row>
    <row r="42" spans="1:5" x14ac:dyDescent="0.35">
      <c r="A42" s="9" t="s">
        <v>48</v>
      </c>
      <c r="B42" s="10">
        <v>8746</v>
      </c>
      <c r="C42" s="10">
        <v>8484</v>
      </c>
    </row>
    <row r="43" spans="1:5" x14ac:dyDescent="0.35">
      <c r="A43" s="7" t="s">
        <v>47</v>
      </c>
      <c r="B43" s="8">
        <f>SUM(B39:B42)</f>
        <v>10084</v>
      </c>
      <c r="C43" s="8">
        <f>SUM(C39:C42)</f>
        <v>9723</v>
      </c>
      <c r="D43" s="16"/>
    </row>
    <row r="44" spans="1:5" x14ac:dyDescent="0.35">
      <c r="A44" s="7" t="s">
        <v>46</v>
      </c>
      <c r="B44" s="8">
        <v>20231</v>
      </c>
      <c r="C44" s="8">
        <v>19621</v>
      </c>
    </row>
    <row r="45" spans="1:5" x14ac:dyDescent="0.35">
      <c r="A45" s="11" t="s">
        <v>45</v>
      </c>
      <c r="B45" s="6">
        <v>2017</v>
      </c>
      <c r="C45" s="6">
        <v>2016</v>
      </c>
    </row>
    <row r="46" spans="1:5" x14ac:dyDescent="0.35">
      <c r="A46" s="9" t="s">
        <v>44</v>
      </c>
      <c r="B46" s="10">
        <v>12</v>
      </c>
      <c r="C46" s="10">
        <v>125</v>
      </c>
    </row>
    <row r="47" spans="1:5" x14ac:dyDescent="0.35">
      <c r="A47" s="9" t="s">
        <v>43</v>
      </c>
      <c r="B47" s="10">
        <v>3577</v>
      </c>
      <c r="C47" s="10">
        <v>3471</v>
      </c>
    </row>
    <row r="48" spans="1:5" x14ac:dyDescent="0.35">
      <c r="A48" s="9" t="s">
        <v>42</v>
      </c>
      <c r="B48" s="10">
        <v>354</v>
      </c>
      <c r="C48" s="10">
        <v>377</v>
      </c>
    </row>
    <row r="49" spans="1:4" x14ac:dyDescent="0.35">
      <c r="A49" s="9" t="s">
        <v>41</v>
      </c>
      <c r="B49" s="10">
        <v>151</v>
      </c>
      <c r="C49" s="10">
        <v>230</v>
      </c>
    </row>
    <row r="50" spans="1:4" x14ac:dyDescent="0.35">
      <c r="A50" s="9" t="s">
        <v>40</v>
      </c>
      <c r="B50" s="10">
        <f>105+974</f>
        <v>1079</v>
      </c>
      <c r="C50" s="10">
        <f>1247+1</f>
        <v>1248</v>
      </c>
    </row>
    <row r="51" spans="1:4" x14ac:dyDescent="0.35">
      <c r="A51" s="7" t="s">
        <v>39</v>
      </c>
      <c r="B51" s="8">
        <f>SUM(B46:B50)</f>
        <v>5173</v>
      </c>
      <c r="C51" s="8">
        <f>SUM(C46:C50)</f>
        <v>5451</v>
      </c>
    </row>
    <row r="52" spans="1:4" x14ac:dyDescent="0.35">
      <c r="A52" s="9" t="s">
        <v>38</v>
      </c>
      <c r="B52" s="10">
        <v>4</v>
      </c>
      <c r="C52" s="10">
        <v>0</v>
      </c>
    </row>
    <row r="53" spans="1:4" x14ac:dyDescent="0.35">
      <c r="A53" s="9" t="s">
        <v>37</v>
      </c>
      <c r="B53" s="10">
        <v>268</v>
      </c>
      <c r="C53" s="10">
        <v>257</v>
      </c>
    </row>
    <row r="54" spans="1:4" x14ac:dyDescent="0.35">
      <c r="A54" s="9" t="s">
        <v>36</v>
      </c>
      <c r="B54" s="10">
        <v>259</v>
      </c>
      <c r="C54" s="10">
        <v>242</v>
      </c>
    </row>
    <row r="55" spans="1:4" x14ac:dyDescent="0.35">
      <c r="A55" s="9" t="s">
        <v>35</v>
      </c>
      <c r="B55" s="10">
        <v>1005</v>
      </c>
      <c r="C55" s="10">
        <v>920</v>
      </c>
    </row>
    <row r="56" spans="1:4" x14ac:dyDescent="0.35">
      <c r="A56" s="7" t="s">
        <v>34</v>
      </c>
      <c r="B56" s="8">
        <f>SUM(B52:B55)</f>
        <v>1536</v>
      </c>
      <c r="C56" s="8">
        <f>SUM(C52:C55)</f>
        <v>1419</v>
      </c>
      <c r="D56" s="16">
        <f>SUM(B52:B56)</f>
        <v>3072</v>
      </c>
    </row>
    <row r="57" spans="1:4" x14ac:dyDescent="0.35">
      <c r="A57" s="7" t="s">
        <v>33</v>
      </c>
      <c r="B57" s="8">
        <f>+B51+B56</f>
        <v>6709</v>
      </c>
      <c r="C57" s="8">
        <f>+C51+C56</f>
        <v>6870</v>
      </c>
    </row>
    <row r="58" spans="1:4" x14ac:dyDescent="0.35">
      <c r="A58" s="12"/>
      <c r="B58" s="12"/>
      <c r="C58" s="12"/>
    </row>
    <row r="59" spans="1:4" x14ac:dyDescent="0.35">
      <c r="A59" s="11" t="s">
        <v>32</v>
      </c>
      <c r="B59" s="11"/>
      <c r="C59" s="11"/>
    </row>
    <row r="60" spans="1:4" x14ac:dyDescent="0.35">
      <c r="A60" s="9" t="s">
        <v>31</v>
      </c>
      <c r="B60" s="10">
        <v>94</v>
      </c>
      <c r="C60" s="10">
        <v>94</v>
      </c>
    </row>
    <row r="61" spans="1:4" x14ac:dyDescent="0.35">
      <c r="A61" s="9" t="s">
        <v>30</v>
      </c>
      <c r="B61" s="10">
        <v>20</v>
      </c>
      <c r="C61" s="10">
        <v>20</v>
      </c>
    </row>
    <row r="62" spans="1:4" x14ac:dyDescent="0.35">
      <c r="A62" s="9" t="s">
        <v>29</v>
      </c>
      <c r="B62" s="10">
        <v>-77</v>
      </c>
      <c r="C62" s="10">
        <v>-87</v>
      </c>
    </row>
    <row r="63" spans="1:4" x14ac:dyDescent="0.35">
      <c r="A63" s="9" t="s">
        <v>28</v>
      </c>
      <c r="B63" s="10">
        <f>272-26</f>
        <v>246</v>
      </c>
      <c r="C63" s="10">
        <f>237+14</f>
        <v>251</v>
      </c>
    </row>
    <row r="64" spans="1:4" x14ac:dyDescent="0.35">
      <c r="A64" s="9" t="s">
        <v>27</v>
      </c>
      <c r="B64" s="10">
        <v>-533</v>
      </c>
      <c r="C64" s="10">
        <v>-240</v>
      </c>
    </row>
    <row r="65" spans="1:6" x14ac:dyDescent="0.35">
      <c r="A65" s="9" t="s">
        <v>26</v>
      </c>
      <c r="B65" s="10">
        <v>13747</v>
      </c>
      <c r="C65" s="10">
        <v>12675</v>
      </c>
    </row>
    <row r="66" spans="1:6" x14ac:dyDescent="0.35">
      <c r="A66" s="7" t="s">
        <v>25</v>
      </c>
      <c r="B66" s="8">
        <f>SUM(B60:B65)</f>
        <v>13497</v>
      </c>
      <c r="C66" s="8">
        <f>SUM(C60:C65)</f>
        <v>12713</v>
      </c>
    </row>
    <row r="67" spans="1:6" x14ac:dyDescent="0.35">
      <c r="A67" s="9" t="s">
        <v>24</v>
      </c>
      <c r="B67" s="10">
        <v>25</v>
      </c>
      <c r="C67" s="10">
        <v>38</v>
      </c>
    </row>
    <row r="68" spans="1:6" x14ac:dyDescent="0.35">
      <c r="A68" s="7" t="s">
        <v>23</v>
      </c>
      <c r="B68" s="8">
        <f>+B66+B67</f>
        <v>13522</v>
      </c>
      <c r="C68" s="8">
        <f>+C66+C67</f>
        <v>12751</v>
      </c>
      <c r="D68" s="16">
        <f>+B68+SUM(B52:B56)+B46+B50</f>
        <v>17685</v>
      </c>
    </row>
    <row r="69" spans="1:6" x14ac:dyDescent="0.35">
      <c r="A69" s="7" t="s">
        <v>22</v>
      </c>
      <c r="B69" s="8">
        <f>+B57+B68</f>
        <v>20231</v>
      </c>
      <c r="C69" s="8">
        <f>+C57+C68</f>
        <v>19621</v>
      </c>
    </row>
    <row r="71" spans="1:6" x14ac:dyDescent="0.35">
      <c r="A71" s="15" t="s">
        <v>111</v>
      </c>
    </row>
    <row r="72" spans="1:6" x14ac:dyDescent="0.35">
      <c r="A72" s="6"/>
      <c r="B72" s="6">
        <v>2017</v>
      </c>
      <c r="C72" s="6">
        <v>2016</v>
      </c>
      <c r="D72" s="24" t="s">
        <v>137</v>
      </c>
      <c r="E72" s="6">
        <v>2017</v>
      </c>
      <c r="F72" s="6">
        <v>2016</v>
      </c>
    </row>
    <row r="73" spans="1:6" x14ac:dyDescent="0.35">
      <c r="A73" s="38" t="s">
        <v>112</v>
      </c>
      <c r="B73" s="14"/>
      <c r="C73" s="14"/>
      <c r="E73" s="14"/>
      <c r="F73" s="14"/>
    </row>
    <row r="74" spans="1:6" x14ac:dyDescent="0.35">
      <c r="A74" s="9" t="s">
        <v>4</v>
      </c>
      <c r="B74" s="18">
        <f t="shared" ref="B74:C79" si="6">+B27</f>
        <v>2685</v>
      </c>
      <c r="C74" s="18">
        <f t="shared" si="6"/>
        <v>2549</v>
      </c>
      <c r="E74" s="18">
        <f>+B74</f>
        <v>2685</v>
      </c>
      <c r="F74" s="18">
        <f t="shared" ref="F74:F79" si="7">+C74</f>
        <v>2549</v>
      </c>
    </row>
    <row r="75" spans="1:6" x14ac:dyDescent="0.35">
      <c r="A75" s="13" t="s">
        <v>62</v>
      </c>
      <c r="B75" s="18">
        <f t="shared" si="6"/>
        <v>101</v>
      </c>
      <c r="C75" s="18">
        <f t="shared" si="6"/>
        <v>96</v>
      </c>
      <c r="E75" s="18">
        <f t="shared" ref="E75:E79" si="8">+B75</f>
        <v>101</v>
      </c>
      <c r="F75" s="18">
        <f t="shared" si="7"/>
        <v>96</v>
      </c>
    </row>
    <row r="76" spans="1:6" x14ac:dyDescent="0.35">
      <c r="A76" s="13" t="s">
        <v>61</v>
      </c>
      <c r="B76" s="18">
        <f t="shared" si="6"/>
        <v>28</v>
      </c>
      <c r="C76" s="18">
        <f t="shared" si="6"/>
        <v>33</v>
      </c>
      <c r="E76" s="18">
        <f t="shared" si="8"/>
        <v>28</v>
      </c>
      <c r="F76" s="18">
        <f t="shared" si="7"/>
        <v>33</v>
      </c>
    </row>
    <row r="77" spans="1:6" x14ac:dyDescent="0.35">
      <c r="A77" s="13" t="s">
        <v>60</v>
      </c>
      <c r="B77" s="18">
        <f t="shared" si="6"/>
        <v>2556</v>
      </c>
      <c r="C77" s="18">
        <f t="shared" si="6"/>
        <v>2420</v>
      </c>
      <c r="E77" s="18">
        <f t="shared" si="8"/>
        <v>2556</v>
      </c>
      <c r="F77" s="18">
        <f t="shared" si="7"/>
        <v>2420</v>
      </c>
    </row>
    <row r="78" spans="1:6" x14ac:dyDescent="0.35">
      <c r="A78" s="9" t="s">
        <v>59</v>
      </c>
      <c r="B78" s="18">
        <f t="shared" si="6"/>
        <v>778</v>
      </c>
      <c r="C78" s="18">
        <f t="shared" si="6"/>
        <v>861</v>
      </c>
      <c r="E78" s="18">
        <f t="shared" si="8"/>
        <v>778</v>
      </c>
      <c r="F78" s="18">
        <f t="shared" si="7"/>
        <v>861</v>
      </c>
    </row>
    <row r="79" spans="1:6" x14ac:dyDescent="0.35">
      <c r="A79" s="9" t="s">
        <v>58</v>
      </c>
      <c r="B79" s="18">
        <f t="shared" si="6"/>
        <v>110</v>
      </c>
      <c r="C79" s="18">
        <f t="shared" si="6"/>
        <v>107</v>
      </c>
      <c r="E79" s="18">
        <f t="shared" si="8"/>
        <v>110</v>
      </c>
      <c r="F79" s="18">
        <f t="shared" si="7"/>
        <v>107</v>
      </c>
    </row>
    <row r="80" spans="1:6" ht="14.5" customHeight="1" x14ac:dyDescent="0.35">
      <c r="A80" s="9" t="s">
        <v>129</v>
      </c>
      <c r="B80" s="18">
        <f>+B37</f>
        <v>160</v>
      </c>
      <c r="C80" s="18">
        <f>+C37</f>
        <v>141</v>
      </c>
      <c r="D80" s="30"/>
      <c r="E80" s="55" t="s">
        <v>141</v>
      </c>
      <c r="F80" s="56"/>
    </row>
    <row r="81" spans="1:6" x14ac:dyDescent="0.35">
      <c r="A81" s="19" t="s">
        <v>112</v>
      </c>
      <c r="B81" s="18">
        <f>SUM(B75:B80)</f>
        <v>3733</v>
      </c>
      <c r="C81" s="18">
        <f t="shared" ref="C81" si="9">SUM(C75:C80)</f>
        <v>3658</v>
      </c>
      <c r="E81" s="18">
        <f>SUM(E75:E80)</f>
        <v>3573</v>
      </c>
      <c r="F81" s="18">
        <f t="shared" ref="F81" si="10">SUM(F75:F80)</f>
        <v>3517</v>
      </c>
    </row>
    <row r="82" spans="1:6" x14ac:dyDescent="0.35">
      <c r="A82" s="38" t="s">
        <v>113</v>
      </c>
      <c r="B82" s="17"/>
      <c r="C82" s="17"/>
      <c r="E82" s="17"/>
      <c r="F82" s="17"/>
    </row>
    <row r="83" spans="1:6" x14ac:dyDescent="0.35">
      <c r="A83" s="9" t="s">
        <v>43</v>
      </c>
      <c r="B83" s="18">
        <f t="shared" ref="B83:C85" si="11">+B47</f>
        <v>3577</v>
      </c>
      <c r="C83" s="18">
        <f t="shared" si="11"/>
        <v>3471</v>
      </c>
      <c r="E83" s="18">
        <f>+B83</f>
        <v>3577</v>
      </c>
      <c r="F83" s="18">
        <f t="shared" ref="F83:F85" si="12">+C83</f>
        <v>3471</v>
      </c>
    </row>
    <row r="84" spans="1:6" x14ac:dyDescent="0.35">
      <c r="A84" s="9" t="s">
        <v>42</v>
      </c>
      <c r="B84" s="18">
        <f t="shared" si="11"/>
        <v>354</v>
      </c>
      <c r="C84" s="18">
        <f t="shared" si="11"/>
        <v>377</v>
      </c>
      <c r="E84" s="18">
        <f>+B84</f>
        <v>354</v>
      </c>
      <c r="F84" s="18">
        <f t="shared" si="12"/>
        <v>377</v>
      </c>
    </row>
    <row r="85" spans="1:6" x14ac:dyDescent="0.35">
      <c r="A85" s="9" t="s">
        <v>41</v>
      </c>
      <c r="B85" s="18">
        <f t="shared" si="11"/>
        <v>151</v>
      </c>
      <c r="C85" s="18">
        <f t="shared" si="11"/>
        <v>230</v>
      </c>
      <c r="E85" s="18">
        <f>+B85</f>
        <v>151</v>
      </c>
      <c r="F85" s="18">
        <f t="shared" si="12"/>
        <v>230</v>
      </c>
    </row>
    <row r="86" spans="1:6" x14ac:dyDescent="0.35">
      <c r="A86" s="19" t="s">
        <v>113</v>
      </c>
      <c r="B86" s="18">
        <f>SUM(B83:B85)</f>
        <v>4082</v>
      </c>
      <c r="C86" s="18">
        <f>SUM(C83:C85)</f>
        <v>4078</v>
      </c>
      <c r="E86" s="18">
        <f>SUM(E83:E85)</f>
        <v>4082</v>
      </c>
      <c r="F86" s="18">
        <f>SUM(F83:F85)</f>
        <v>4078</v>
      </c>
    </row>
    <row r="87" spans="1:6" x14ac:dyDescent="0.35">
      <c r="A87" s="28" t="s">
        <v>110</v>
      </c>
      <c r="B87" s="29">
        <f>+B81-B86</f>
        <v>-349</v>
      </c>
      <c r="C87" s="29">
        <f>+C81-C86</f>
        <v>-420</v>
      </c>
      <c r="D87" s="15"/>
      <c r="E87" s="29">
        <f>+E81-E86</f>
        <v>-509</v>
      </c>
      <c r="F87" s="29">
        <f>+F81-F86</f>
        <v>-561</v>
      </c>
    </row>
    <row r="89" spans="1:6" x14ac:dyDescent="0.35">
      <c r="A89" s="15" t="s">
        <v>114</v>
      </c>
    </row>
    <row r="90" spans="1:6" x14ac:dyDescent="0.35">
      <c r="A90" s="6"/>
      <c r="B90" s="6">
        <v>2017</v>
      </c>
      <c r="C90" s="6">
        <v>2016</v>
      </c>
    </row>
    <row r="91" spans="1:6" x14ac:dyDescent="0.35">
      <c r="A91" s="9" t="str">
        <f>+A74</f>
        <v>Inventories</v>
      </c>
      <c r="B91" s="18">
        <f>+B74</f>
        <v>2685</v>
      </c>
      <c r="C91" s="18">
        <f>+C74</f>
        <v>2549</v>
      </c>
    </row>
    <row r="92" spans="1:6" x14ac:dyDescent="0.35">
      <c r="A92" s="9" t="str">
        <f>+A78</f>
        <v>Trade Receivables</v>
      </c>
      <c r="B92" s="18">
        <f>+B78</f>
        <v>778</v>
      </c>
      <c r="C92" s="18">
        <f>+C78</f>
        <v>861</v>
      </c>
    </row>
    <row r="93" spans="1:6" x14ac:dyDescent="0.35">
      <c r="A93" s="9" t="str">
        <f>+A83</f>
        <v>Total Accounts Payable</v>
      </c>
      <c r="B93" s="18">
        <f t="shared" ref="B93:C93" si="13">+B83</f>
        <v>3577</v>
      </c>
      <c r="C93" s="18">
        <f t="shared" si="13"/>
        <v>3471</v>
      </c>
    </row>
    <row r="94" spans="1:6" x14ac:dyDescent="0.35">
      <c r="A94" s="9" t="s">
        <v>157</v>
      </c>
      <c r="B94" s="18">
        <f>+B91+B92-B93</f>
        <v>-114</v>
      </c>
      <c r="C94" s="18">
        <f>+C91+C92-C93</f>
        <v>-61</v>
      </c>
    </row>
    <row r="95" spans="1:6" x14ac:dyDescent="0.35">
      <c r="A95" s="9" t="s">
        <v>158</v>
      </c>
      <c r="B95" s="41">
        <f>+B94/B5*365</f>
        <v>-1.6423271234606882</v>
      </c>
      <c r="C95" s="41">
        <f>+C94/C5*365</f>
        <v>-0.95512848011668305</v>
      </c>
    </row>
    <row r="96" spans="1:6" x14ac:dyDescent="0.35">
      <c r="A96" s="9" t="s">
        <v>159</v>
      </c>
      <c r="B96" s="39"/>
      <c r="C96" s="39"/>
    </row>
    <row r="97" spans="1:9" x14ac:dyDescent="0.35">
      <c r="A97" s="9" t="s">
        <v>156</v>
      </c>
      <c r="B97" s="25">
        <f t="shared" ref="B97:C101" si="14">+B74/B$5*365</f>
        <v>38.681125670981999</v>
      </c>
      <c r="C97" s="25">
        <f t="shared" si="14"/>
        <v>39.911844193728285</v>
      </c>
      <c r="D97" s="2" t="s">
        <v>154</v>
      </c>
      <c r="F97" s="25">
        <f>-B74/B6*365</f>
        <v>88.481852654387865</v>
      </c>
      <c r="G97" s="25">
        <f>-C74/C6*365</f>
        <v>92.741726475279108</v>
      </c>
    </row>
    <row r="98" spans="1:9" x14ac:dyDescent="0.35">
      <c r="A98" s="13" t="s">
        <v>149</v>
      </c>
      <c r="B98" s="21">
        <f t="shared" si="14"/>
        <v>1.4550442058730662</v>
      </c>
      <c r="C98" s="21">
        <f t="shared" si="14"/>
        <v>1.5031530178885504</v>
      </c>
      <c r="D98" s="2" t="s">
        <v>155</v>
      </c>
    </row>
    <row r="99" spans="1:9" x14ac:dyDescent="0.35">
      <c r="A99" s="13" t="s">
        <v>150</v>
      </c>
      <c r="B99" s="21">
        <f t="shared" si="14"/>
        <v>0.4033785917271866</v>
      </c>
      <c r="C99" s="21">
        <f t="shared" si="14"/>
        <v>0.5167088498991893</v>
      </c>
    </row>
    <row r="100" spans="1:9" x14ac:dyDescent="0.35">
      <c r="A100" s="13" t="s">
        <v>151</v>
      </c>
      <c r="B100" s="21">
        <f t="shared" si="14"/>
        <v>36.822702873381751</v>
      </c>
      <c r="C100" s="21">
        <f t="shared" si="14"/>
        <v>37.891982325940546</v>
      </c>
    </row>
    <row r="101" spans="1:9" x14ac:dyDescent="0.35">
      <c r="A101" s="9" t="s">
        <v>152</v>
      </c>
      <c r="B101" s="25">
        <f t="shared" si="14"/>
        <v>11.2081622987054</v>
      </c>
      <c r="C101" s="25">
        <f t="shared" si="14"/>
        <v>13.481403629187936</v>
      </c>
    </row>
    <row r="102" spans="1:9" x14ac:dyDescent="0.35">
      <c r="A102" s="9"/>
      <c r="B102" s="21">
        <f>+B97+B101</f>
        <v>49.889287969687402</v>
      </c>
      <c r="C102" s="21">
        <f t="shared" ref="C102" si="15">+C97+C101</f>
        <v>53.393247822916223</v>
      </c>
    </row>
    <row r="103" spans="1:9" x14ac:dyDescent="0.35">
      <c r="A103" s="9"/>
      <c r="B103" s="21"/>
      <c r="C103" s="21"/>
    </row>
    <row r="104" spans="1:9" x14ac:dyDescent="0.35">
      <c r="A104" s="9" t="s">
        <v>153</v>
      </c>
      <c r="B104" s="25">
        <f t="shared" ref="B104" si="16">+B83/B$5*365</f>
        <v>51.531615093148091</v>
      </c>
      <c r="C104" s="25">
        <f>+C83/C$5*365</f>
        <v>54.3483763030329</v>
      </c>
      <c r="E104" s="20">
        <f>-+B83/SUM(B6+B8+B9)*365</f>
        <v>81.300516844137249</v>
      </c>
    </row>
    <row r="105" spans="1:9" x14ac:dyDescent="0.35">
      <c r="A105" s="28" t="s">
        <v>110</v>
      </c>
      <c r="B105" s="25">
        <f>+B97+B101-B104</f>
        <v>-1.6423271234606887</v>
      </c>
      <c r="C105" s="25">
        <f>+C97+C101-C104</f>
        <v>-0.95512848011667728</v>
      </c>
    </row>
    <row r="106" spans="1:9" x14ac:dyDescent="0.35">
      <c r="B106" s="20"/>
    </row>
    <row r="107" spans="1:9" x14ac:dyDescent="0.35">
      <c r="A107" t="s">
        <v>140</v>
      </c>
      <c r="B107" s="20"/>
    </row>
    <row r="108" spans="1:9" x14ac:dyDescent="0.35">
      <c r="A108" t="s">
        <v>163</v>
      </c>
      <c r="B108" s="20"/>
    </row>
    <row r="109" spans="1:9" x14ac:dyDescent="0.35">
      <c r="B109" s="20"/>
    </row>
    <row r="110" spans="1:9" x14ac:dyDescent="0.35">
      <c r="A110" s="15" t="s">
        <v>115</v>
      </c>
      <c r="H110" s="37" t="s">
        <v>147</v>
      </c>
    </row>
    <row r="111" spans="1:9" x14ac:dyDescent="0.35">
      <c r="A111" s="6"/>
      <c r="B111" s="6">
        <v>2017</v>
      </c>
      <c r="C111" s="6">
        <v>2016</v>
      </c>
      <c r="D111" s="24" t="s">
        <v>137</v>
      </c>
      <c r="E111" s="6">
        <v>2017</v>
      </c>
      <c r="F111" s="6">
        <v>2016</v>
      </c>
      <c r="G111" s="24" t="s">
        <v>137</v>
      </c>
      <c r="H111" s="6">
        <v>2017</v>
      </c>
      <c r="I111" s="6">
        <v>2016</v>
      </c>
    </row>
    <row r="112" spans="1:9" x14ac:dyDescent="0.35">
      <c r="A112" s="17" t="s">
        <v>116</v>
      </c>
      <c r="B112" s="18">
        <f>+B66+B67</f>
        <v>13522</v>
      </c>
      <c r="C112" s="18">
        <f>+C66+C67</f>
        <v>12751</v>
      </c>
      <c r="E112" s="18">
        <f>+B112</f>
        <v>13522</v>
      </c>
      <c r="F112" s="18">
        <f t="shared" ref="F112:F116" si="17">+C112</f>
        <v>12751</v>
      </c>
      <c r="H112" s="18">
        <f>+E112</f>
        <v>13522</v>
      </c>
      <c r="I112" s="18">
        <f t="shared" ref="I112" si="18">+F112</f>
        <v>12751</v>
      </c>
    </row>
    <row r="113" spans="1:9" x14ac:dyDescent="0.35">
      <c r="A113" s="17" t="s">
        <v>146</v>
      </c>
      <c r="B113" s="18"/>
      <c r="C113" s="18"/>
      <c r="E113" s="18"/>
      <c r="F113" s="18"/>
      <c r="H113" s="18">
        <f>+B53</f>
        <v>268</v>
      </c>
      <c r="I113" s="18">
        <f>+C53</f>
        <v>257</v>
      </c>
    </row>
    <row r="114" spans="1:9" x14ac:dyDescent="0.35">
      <c r="A114" s="17" t="s">
        <v>36</v>
      </c>
      <c r="B114" s="18"/>
      <c r="C114" s="18"/>
      <c r="E114" s="18"/>
      <c r="F114" s="18"/>
      <c r="H114" s="18">
        <f>+B54</f>
        <v>259</v>
      </c>
      <c r="I114" s="18">
        <f>+C54</f>
        <v>242</v>
      </c>
    </row>
    <row r="115" spans="1:9" x14ac:dyDescent="0.35">
      <c r="A115" s="38" t="s">
        <v>148</v>
      </c>
      <c r="B115" s="29"/>
      <c r="C115" s="29"/>
      <c r="D115" s="15"/>
      <c r="E115" s="29"/>
      <c r="F115" s="29"/>
      <c r="G115" s="15"/>
      <c r="H115" s="29">
        <f>SUM(H112:H114)</f>
        <v>14049</v>
      </c>
      <c r="I115" s="29">
        <f>SUM(I112:I114)</f>
        <v>13250</v>
      </c>
    </row>
    <row r="116" spans="1:9" x14ac:dyDescent="0.35">
      <c r="A116" s="17" t="s">
        <v>117</v>
      </c>
      <c r="B116" s="18">
        <f>+B56</f>
        <v>1536</v>
      </c>
      <c r="C116" s="18">
        <f>+C56</f>
        <v>1419</v>
      </c>
      <c r="E116" s="18">
        <f t="shared" ref="E116" si="19">+B116</f>
        <v>1536</v>
      </c>
      <c r="F116" s="18">
        <f t="shared" si="17"/>
        <v>1419</v>
      </c>
      <c r="H116" s="18">
        <f>+B56-B54-B53</f>
        <v>1009</v>
      </c>
      <c r="I116" s="18">
        <f>+C52+C55</f>
        <v>920</v>
      </c>
    </row>
    <row r="117" spans="1:9" x14ac:dyDescent="0.35">
      <c r="A117" s="17" t="s">
        <v>118</v>
      </c>
      <c r="B117" s="18">
        <f>+B112+B116</f>
        <v>15058</v>
      </c>
      <c r="C117" s="18">
        <f>+C112+C116</f>
        <v>14170</v>
      </c>
      <c r="E117" s="18">
        <f>+E112+E116</f>
        <v>15058</v>
      </c>
      <c r="F117" s="18">
        <f>+F112+F116</f>
        <v>14170</v>
      </c>
      <c r="H117" s="18">
        <f>+H115+H116</f>
        <v>15058</v>
      </c>
      <c r="I117" s="18">
        <f>+I115+I116</f>
        <v>14170</v>
      </c>
    </row>
    <row r="118" spans="1:9" x14ac:dyDescent="0.35">
      <c r="A118" s="17" t="s">
        <v>47</v>
      </c>
      <c r="B118" s="18">
        <f>+B43</f>
        <v>10084</v>
      </c>
      <c r="C118" s="18">
        <f>+C43</f>
        <v>9723</v>
      </c>
      <c r="E118" s="18">
        <f>+B118</f>
        <v>10084</v>
      </c>
      <c r="F118" s="18">
        <f>+C118</f>
        <v>9723</v>
      </c>
      <c r="H118" s="18">
        <f>+E118</f>
        <v>10084</v>
      </c>
      <c r="I118" s="18">
        <f>+F118</f>
        <v>9723</v>
      </c>
    </row>
    <row r="119" spans="1:9" x14ac:dyDescent="0.35">
      <c r="A119" s="17" t="s">
        <v>120</v>
      </c>
      <c r="B119" s="18">
        <f>+B117-B118</f>
        <v>4974</v>
      </c>
      <c r="C119" s="18">
        <f>+C117-C118</f>
        <v>4447</v>
      </c>
      <c r="E119" s="18">
        <f>+E117-E118</f>
        <v>4974</v>
      </c>
      <c r="F119" s="18">
        <f>+F117-F118</f>
        <v>4447</v>
      </c>
      <c r="H119" s="18">
        <f>+H117-H118</f>
        <v>4974</v>
      </c>
      <c r="I119" s="18">
        <f>+I117-I118</f>
        <v>4447</v>
      </c>
    </row>
    <row r="120" spans="1:9" x14ac:dyDescent="0.35">
      <c r="A120" s="17" t="s">
        <v>110</v>
      </c>
      <c r="B120" s="18">
        <f>+B87</f>
        <v>-349</v>
      </c>
      <c r="C120" s="18">
        <f>+C87</f>
        <v>-420</v>
      </c>
      <c r="E120" s="18">
        <f>+E87</f>
        <v>-509</v>
      </c>
      <c r="F120" s="18">
        <f>+F87</f>
        <v>-561</v>
      </c>
      <c r="H120" s="18">
        <f>+B120</f>
        <v>-349</v>
      </c>
      <c r="I120" s="18">
        <f>+C120</f>
        <v>-420</v>
      </c>
    </row>
    <row r="121" spans="1:9" x14ac:dyDescent="0.35">
      <c r="A121" s="17" t="s">
        <v>119</v>
      </c>
      <c r="B121" s="18">
        <f>+B119-B120</f>
        <v>5323</v>
      </c>
      <c r="C121" s="18">
        <f>+C119-C120</f>
        <v>4867</v>
      </c>
      <c r="E121" s="18">
        <f>+E119-E120</f>
        <v>5483</v>
      </c>
      <c r="F121" s="18">
        <f>+F119-F120</f>
        <v>5008</v>
      </c>
      <c r="H121" s="18">
        <f>+H119-H120</f>
        <v>5323</v>
      </c>
      <c r="I121" s="18">
        <f>+I119-I120</f>
        <v>4867</v>
      </c>
    </row>
    <row r="122" spans="1:9" x14ac:dyDescent="0.35">
      <c r="A122" s="17" t="s">
        <v>142</v>
      </c>
      <c r="B122" s="33">
        <f>+B121/B5</f>
        <v>0.21009630565203663</v>
      </c>
      <c r="C122" s="33">
        <f>+C121/C5</f>
        <v>0.20878555188537601</v>
      </c>
      <c r="E122" s="33">
        <f>+E121/$B5</f>
        <v>0.21641143037574992</v>
      </c>
      <c r="F122" s="33">
        <f>+F121/$C5</f>
        <v>0.21483419844708507</v>
      </c>
      <c r="H122" s="33">
        <f>+H121/$B5</f>
        <v>0.21009630565203663</v>
      </c>
      <c r="I122" s="33">
        <f>+I121/$C5</f>
        <v>0.20878555188537601</v>
      </c>
    </row>
    <row r="123" spans="1:9" x14ac:dyDescent="0.35">
      <c r="A123" s="31" t="s">
        <v>143</v>
      </c>
      <c r="H123" s="16"/>
    </row>
    <row r="125" spans="1:9" x14ac:dyDescent="0.35">
      <c r="B125" s="16"/>
      <c r="C125" s="16"/>
      <c r="E125" s="16"/>
      <c r="F125" s="16"/>
      <c r="H125" s="16"/>
      <c r="I125" s="16"/>
    </row>
    <row r="126" spans="1:9" x14ac:dyDescent="0.35">
      <c r="A126" s="32" t="s">
        <v>121</v>
      </c>
      <c r="B126" s="26">
        <f>+B127/B128</f>
        <v>1.9615310264836652</v>
      </c>
      <c r="C126" s="26">
        <f t="shared" ref="C126" si="20">+C127/C128</f>
        <v>1.8158136121812511</v>
      </c>
    </row>
    <row r="127" spans="1:9" x14ac:dyDescent="0.35">
      <c r="A127" s="23" t="s">
        <v>122</v>
      </c>
      <c r="B127" s="18">
        <f>+B38</f>
        <v>10147</v>
      </c>
      <c r="C127" s="18">
        <f>+C38</f>
        <v>9898</v>
      </c>
    </row>
    <row r="128" spans="1:9" x14ac:dyDescent="0.35">
      <c r="A128" s="23" t="s">
        <v>123</v>
      </c>
      <c r="B128" s="18">
        <f>+B51</f>
        <v>5173</v>
      </c>
      <c r="C128" s="18">
        <f>+C51</f>
        <v>5451</v>
      </c>
    </row>
    <row r="129" spans="1:9" x14ac:dyDescent="0.35">
      <c r="A129" s="22" t="s">
        <v>144</v>
      </c>
    </row>
    <row r="130" spans="1:9" x14ac:dyDescent="0.35">
      <c r="A130" s="22" t="s">
        <v>164</v>
      </c>
    </row>
    <row r="131" spans="1:9" x14ac:dyDescent="0.35">
      <c r="A131" s="22"/>
    </row>
    <row r="132" spans="1:9" x14ac:dyDescent="0.35">
      <c r="A132" s="27" t="s">
        <v>124</v>
      </c>
    </row>
    <row r="133" spans="1:9" x14ac:dyDescent="0.35">
      <c r="A133" s="22" t="s">
        <v>15</v>
      </c>
      <c r="B133" s="34">
        <f>+B14</f>
        <v>4315</v>
      </c>
      <c r="C133" s="34">
        <f>+C14</f>
        <v>4021</v>
      </c>
      <c r="E133" s="16"/>
      <c r="F133" s="16"/>
      <c r="H133" s="16"/>
      <c r="I133" s="16"/>
    </row>
    <row r="134" spans="1:9" x14ac:dyDescent="0.35">
      <c r="A134" s="22" t="s">
        <v>132</v>
      </c>
      <c r="B134" s="34">
        <f>+B5</f>
        <v>25336</v>
      </c>
      <c r="C134" s="34">
        <f>+C5</f>
        <v>23311</v>
      </c>
      <c r="D134" s="35">
        <f>+B134/C134-1</f>
        <v>8.6868860194757813E-2</v>
      </c>
      <c r="E134" s="16"/>
      <c r="F134" s="16"/>
      <c r="H134" s="16"/>
      <c r="I134" s="16"/>
    </row>
    <row r="135" spans="1:9" x14ac:dyDescent="0.35">
      <c r="A135" s="22" t="s">
        <v>125</v>
      </c>
      <c r="B135" s="2"/>
      <c r="C135" s="2"/>
      <c r="E135" s="16"/>
    </row>
    <row r="136" spans="1:9" x14ac:dyDescent="0.35">
      <c r="A136" s="22" t="s">
        <v>126</v>
      </c>
      <c r="B136" s="34">
        <f>+B118</f>
        <v>10084</v>
      </c>
      <c r="C136" s="34">
        <f>+C118</f>
        <v>9723</v>
      </c>
      <c r="E136" s="34"/>
      <c r="F136" s="34"/>
      <c r="H136" s="34"/>
      <c r="I136" s="34"/>
    </row>
    <row r="137" spans="1:9" x14ac:dyDescent="0.35">
      <c r="A137" s="22" t="s">
        <v>127</v>
      </c>
      <c r="B137" s="34">
        <f>+B120</f>
        <v>-349</v>
      </c>
      <c r="C137" s="34">
        <f>+C120</f>
        <v>-420</v>
      </c>
      <c r="E137" s="34"/>
      <c r="F137" s="34"/>
      <c r="H137" s="34"/>
      <c r="I137" s="34"/>
    </row>
    <row r="138" spans="1:9" x14ac:dyDescent="0.35">
      <c r="A138" s="22" t="s">
        <v>128</v>
      </c>
      <c r="B138" s="34">
        <f>+B33+B34+B35+B36</f>
        <v>6414</v>
      </c>
      <c r="C138" s="34">
        <f>+C33+C34+C35+C36</f>
        <v>6240</v>
      </c>
      <c r="E138" s="34"/>
      <c r="F138" s="34"/>
      <c r="H138" s="34"/>
      <c r="I138" s="34"/>
    </row>
    <row r="139" spans="1:9" x14ac:dyDescent="0.35">
      <c r="A139" s="22" t="s">
        <v>130</v>
      </c>
      <c r="B139" s="34">
        <f>SUM(B136:B138)</f>
        <v>16149</v>
      </c>
      <c r="C139" s="34">
        <f t="shared" ref="C139" si="21">SUM(C136:C138)</f>
        <v>15543</v>
      </c>
      <c r="D139" s="35">
        <f>+B139/C139-1</f>
        <v>3.8988612237019771E-2</v>
      </c>
      <c r="E139" s="34"/>
      <c r="F139" s="34"/>
      <c r="H139" s="34"/>
      <c r="I139" s="34"/>
    </row>
    <row r="140" spans="1:9" x14ac:dyDescent="0.35">
      <c r="A140" s="22" t="s">
        <v>136</v>
      </c>
      <c r="B140" s="34">
        <f>+B117+$B46+$B50</f>
        <v>16149</v>
      </c>
      <c r="C140" s="34">
        <f>+C117+$C46+$C50</f>
        <v>15543</v>
      </c>
      <c r="D140" s="16">
        <f>15071-B140</f>
        <v>-1078</v>
      </c>
      <c r="E140" s="34"/>
      <c r="F140" s="34"/>
      <c r="H140" s="34"/>
      <c r="I140" s="34"/>
    </row>
    <row r="141" spans="1:9" x14ac:dyDescent="0.35">
      <c r="A141" s="22" t="s">
        <v>131</v>
      </c>
      <c r="B141" s="35">
        <f>+B133/B139</f>
        <v>0.26719920738126202</v>
      </c>
      <c r="C141" s="35">
        <f t="shared" ref="C141" si="22">+C133/C139</f>
        <v>0.25870166634497843</v>
      </c>
      <c r="E141" s="16"/>
      <c r="F141" s="16"/>
    </row>
    <row r="142" spans="1:9" x14ac:dyDescent="0.35">
      <c r="A142" s="22"/>
      <c r="B142" s="35"/>
      <c r="C142" s="34"/>
    </row>
    <row r="143" spans="1:9" x14ac:dyDescent="0.35">
      <c r="A143" s="6"/>
      <c r="B143" s="6">
        <v>2017</v>
      </c>
      <c r="C143" s="6">
        <v>2016</v>
      </c>
    </row>
    <row r="144" spans="1:9" x14ac:dyDescent="0.35">
      <c r="A144" s="23" t="s">
        <v>133</v>
      </c>
      <c r="B144" s="33">
        <f>+B133/B134</f>
        <v>0.17031101989264288</v>
      </c>
      <c r="C144" s="33">
        <f>+C133/C134</f>
        <v>0.17249367251512163</v>
      </c>
    </row>
    <row r="145" spans="1:3" x14ac:dyDescent="0.35">
      <c r="A145" s="17" t="s">
        <v>134</v>
      </c>
      <c r="B145" s="36">
        <f>+B134/B139</f>
        <v>1.5688897145334075</v>
      </c>
      <c r="C145" s="36">
        <f>+C134/C139</f>
        <v>1.4997748182461559</v>
      </c>
    </row>
    <row r="146" spans="1:3" x14ac:dyDescent="0.35">
      <c r="A146" s="23" t="s">
        <v>135</v>
      </c>
      <c r="B146" s="33">
        <f>+B144*B145</f>
        <v>0.26719920738126196</v>
      </c>
      <c r="C146" s="33">
        <f t="shared" ref="C146" si="23">+C144*C145</f>
        <v>0.25870166634497849</v>
      </c>
    </row>
    <row r="147" spans="1:3" x14ac:dyDescent="0.35">
      <c r="A147" s="22"/>
      <c r="B147" s="35"/>
      <c r="C147" s="35"/>
    </row>
    <row r="148" spans="1:3" x14ac:dyDescent="0.35">
      <c r="A148" s="22" t="s">
        <v>145</v>
      </c>
      <c r="B148" s="35"/>
      <c r="C148" s="35"/>
    </row>
    <row r="149" spans="1:3" x14ac:dyDescent="0.35">
      <c r="A149" s="22" t="s">
        <v>165</v>
      </c>
      <c r="B149" s="35"/>
      <c r="C149" s="35"/>
    </row>
    <row r="150" spans="1:3" x14ac:dyDescent="0.35">
      <c r="A150" s="22" t="s">
        <v>166</v>
      </c>
      <c r="B150" s="35"/>
      <c r="C150" s="35"/>
    </row>
    <row r="151" spans="1:3" x14ac:dyDescent="0.35">
      <c r="A151" s="2"/>
      <c r="B151" s="2"/>
      <c r="C151" s="2"/>
    </row>
    <row r="152" spans="1:3" x14ac:dyDescent="0.35">
      <c r="A152" s="27" t="s">
        <v>138</v>
      </c>
    </row>
    <row r="153" spans="1:3" x14ac:dyDescent="0.35">
      <c r="A153" s="2" t="s">
        <v>139</v>
      </c>
    </row>
    <row r="154" spans="1:3" x14ac:dyDescent="0.35">
      <c r="A154" s="2" t="s">
        <v>167</v>
      </c>
    </row>
    <row r="155" spans="1:3" x14ac:dyDescent="0.35">
      <c r="A155" s="2" t="s">
        <v>168</v>
      </c>
    </row>
    <row r="156" spans="1:3" x14ac:dyDescent="0.35">
      <c r="A156" s="2" t="s">
        <v>169</v>
      </c>
    </row>
    <row r="157" spans="1:3" x14ac:dyDescent="0.35">
      <c r="A157" s="2" t="s">
        <v>170</v>
      </c>
    </row>
  </sheetData>
  <mergeCells count="2">
    <mergeCell ref="E80:F80"/>
    <mergeCell ref="F6:F7"/>
  </mergeCells>
  <pageMargins left="0.75" right="0.75" top="1" bottom="1" header="0.5" footer="0.5"/>
  <pageSetup paperSize="9" orientation="landscape" r:id="rId1"/>
  <rowBreaks count="3" manualBreakCount="3">
    <brk id="58" max="16383" man="1"/>
    <brk id="88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opLeftCell="A33" workbookViewId="0">
      <selection activeCell="A52" sqref="A52"/>
    </sheetView>
  </sheetViews>
  <sheetFormatPr defaultRowHeight="13" x14ac:dyDescent="0.3"/>
  <cols>
    <col min="1" max="1" width="19.1796875" style="2" customWidth="1"/>
    <col min="2" max="3" width="8.7265625" style="2"/>
    <col min="4" max="4" width="11" style="2" customWidth="1"/>
    <col min="5" max="16384" width="8.7265625" style="2"/>
  </cols>
  <sheetData>
    <row r="1" spans="1:7" x14ac:dyDescent="0.3">
      <c r="A1" s="37" t="s">
        <v>83</v>
      </c>
    </row>
    <row r="2" spans="1:7" x14ac:dyDescent="0.3">
      <c r="A2" s="17"/>
      <c r="B2" s="42" t="s">
        <v>70</v>
      </c>
      <c r="C2" s="38">
        <v>0</v>
      </c>
      <c r="D2" s="38">
        <v>1</v>
      </c>
      <c r="E2" s="38">
        <v>2</v>
      </c>
      <c r="F2" s="38">
        <v>3</v>
      </c>
      <c r="G2" s="38">
        <v>4</v>
      </c>
    </row>
    <row r="3" spans="1:7" x14ac:dyDescent="0.3">
      <c r="A3" s="17" t="s">
        <v>69</v>
      </c>
      <c r="B3" s="43">
        <f>IRR(C3:G3)</f>
        <v>0.24602136774084249</v>
      </c>
      <c r="C3" s="44">
        <v>-1000</v>
      </c>
      <c r="D3" s="44">
        <v>298</v>
      </c>
      <c r="E3" s="44">
        <v>298</v>
      </c>
      <c r="F3" s="44">
        <v>298</v>
      </c>
      <c r="G3" s="44">
        <v>1000</v>
      </c>
    </row>
    <row r="4" spans="1:7" x14ac:dyDescent="0.3">
      <c r="A4" s="17" t="s">
        <v>68</v>
      </c>
      <c r="B4" s="43">
        <f>IRR(C4:G4)</f>
        <v>0.23005603675371877</v>
      </c>
      <c r="C4" s="44">
        <v>-1050</v>
      </c>
      <c r="D4" s="44">
        <v>100</v>
      </c>
      <c r="E4" s="44">
        <v>200</v>
      </c>
      <c r="F4" s="44">
        <v>500</v>
      </c>
      <c r="G4" s="44">
        <v>1300</v>
      </c>
    </row>
    <row r="5" spans="1:7" x14ac:dyDescent="0.3">
      <c r="A5" s="2" t="s">
        <v>81</v>
      </c>
      <c r="B5" s="43">
        <f>IRR(C5:G5)</f>
        <v>0.16251077290678517</v>
      </c>
      <c r="C5" s="2">
        <f>+C4-C3</f>
        <v>-50</v>
      </c>
      <c r="D5" s="2">
        <f>+D4-D3</f>
        <v>-198</v>
      </c>
      <c r="E5" s="2">
        <f>+E4-E3</f>
        <v>-98</v>
      </c>
      <c r="F5" s="2">
        <f>+F4-F3</f>
        <v>202</v>
      </c>
      <c r="G5" s="2">
        <f>+G4-G3</f>
        <v>300</v>
      </c>
    </row>
    <row r="6" spans="1:7" x14ac:dyDescent="0.3">
      <c r="B6" s="45"/>
    </row>
    <row r="7" spans="1:7" x14ac:dyDescent="0.3">
      <c r="B7" s="46">
        <f>SUM(C7:G7)</f>
        <v>424.09534867836862</v>
      </c>
      <c r="C7" s="46">
        <f t="shared" ref="C7:F9" si="0">+C3/(1+$C$12)^C$2</f>
        <v>-1000</v>
      </c>
      <c r="D7" s="46">
        <f t="shared" si="0"/>
        <v>270.90909090909088</v>
      </c>
      <c r="E7" s="46">
        <f t="shared" si="0"/>
        <v>246.28099173553716</v>
      </c>
      <c r="F7" s="46">
        <f t="shared" si="0"/>
        <v>223.8918106686701</v>
      </c>
      <c r="G7" s="46">
        <f>+G3/(1+$C$12)^G$2</f>
        <v>683.01345536507051</v>
      </c>
    </row>
    <row r="8" spans="1:7" x14ac:dyDescent="0.3">
      <c r="B8" s="46">
        <f>SUM(C8:G8)</f>
        <v>469.77323953281842</v>
      </c>
      <c r="C8" s="46">
        <f t="shared" si="0"/>
        <v>-1050</v>
      </c>
      <c r="D8" s="46">
        <f t="shared" si="0"/>
        <v>90.909090909090907</v>
      </c>
      <c r="E8" s="46">
        <f t="shared" si="0"/>
        <v>165.28925619834709</v>
      </c>
      <c r="F8" s="46">
        <f t="shared" si="0"/>
        <v>375.65740045078877</v>
      </c>
      <c r="G8" s="46">
        <f>+G4/(1+$C$12)^G$2</f>
        <v>887.91749197459171</v>
      </c>
    </row>
    <row r="9" spans="1:7" x14ac:dyDescent="0.3">
      <c r="B9" s="46">
        <f>SUM(C9:G9)</f>
        <v>45.677890854449771</v>
      </c>
      <c r="C9" s="46">
        <f t="shared" si="0"/>
        <v>-50</v>
      </c>
      <c r="D9" s="46">
        <f t="shared" si="0"/>
        <v>-179.99999999999997</v>
      </c>
      <c r="E9" s="46">
        <f t="shared" si="0"/>
        <v>-80.991735537190067</v>
      </c>
      <c r="F9" s="46">
        <f t="shared" si="0"/>
        <v>151.76558978211867</v>
      </c>
      <c r="G9" s="46">
        <f>+G5/(1+$C$12)^G$2</f>
        <v>204.90403660952114</v>
      </c>
    </row>
    <row r="10" spans="1:7" x14ac:dyDescent="0.3">
      <c r="B10" s="45"/>
    </row>
    <row r="11" spans="1:7" x14ac:dyDescent="0.3">
      <c r="B11" s="45"/>
    </row>
    <row r="12" spans="1:7" x14ac:dyDescent="0.3">
      <c r="A12" s="2" t="s">
        <v>67</v>
      </c>
      <c r="C12" s="47">
        <v>0.1</v>
      </c>
    </row>
    <row r="13" spans="1:7" x14ac:dyDescent="0.3">
      <c r="A13" s="2" t="s">
        <v>66</v>
      </c>
      <c r="C13" s="48">
        <f>NPV($C$12,D3:G3)+C3</f>
        <v>424.09534867836874</v>
      </c>
    </row>
    <row r="14" spans="1:7" x14ac:dyDescent="0.3">
      <c r="A14" s="2" t="s">
        <v>65</v>
      </c>
      <c r="C14" s="48">
        <f>NPV($C$12,D4:G4)+C4</f>
        <v>469.77323953281848</v>
      </c>
    </row>
    <row r="15" spans="1:7" x14ac:dyDescent="0.3">
      <c r="A15" s="2" t="s">
        <v>82</v>
      </c>
    </row>
    <row r="16" spans="1:7" x14ac:dyDescent="0.3">
      <c r="A16" s="2" t="s">
        <v>171</v>
      </c>
    </row>
    <row r="18" spans="1:4" x14ac:dyDescent="0.3">
      <c r="A18" s="37" t="s">
        <v>84</v>
      </c>
    </row>
    <row r="20" spans="1:4" x14ac:dyDescent="0.3">
      <c r="A20" s="2" t="s">
        <v>85</v>
      </c>
      <c r="B20" s="2">
        <v>6</v>
      </c>
    </row>
    <row r="21" spans="1:4" x14ac:dyDescent="0.3">
      <c r="A21" s="2" t="s">
        <v>86</v>
      </c>
      <c r="B21" s="2">
        <v>4</v>
      </c>
    </row>
    <row r="22" spans="1:4" x14ac:dyDescent="0.3">
      <c r="A22" s="2" t="s">
        <v>97</v>
      </c>
      <c r="B22" s="2">
        <f>+B20+B21</f>
        <v>10</v>
      </c>
    </row>
    <row r="24" spans="1:4" x14ac:dyDescent="0.3">
      <c r="A24" s="2" t="s">
        <v>87</v>
      </c>
      <c r="B24" s="2">
        <v>0.6</v>
      </c>
    </row>
    <row r="25" spans="1:4" x14ac:dyDescent="0.3">
      <c r="A25" s="2" t="s">
        <v>88</v>
      </c>
      <c r="B25" s="49">
        <v>0.06</v>
      </c>
    </row>
    <row r="26" spans="1:4" x14ac:dyDescent="0.3">
      <c r="A26" s="2" t="s">
        <v>89</v>
      </c>
      <c r="B26" s="49">
        <v>0.03</v>
      </c>
    </row>
    <row r="27" spans="1:4" x14ac:dyDescent="0.3">
      <c r="A27" s="2" t="s">
        <v>90</v>
      </c>
      <c r="B27" s="49">
        <v>0.01</v>
      </c>
    </row>
    <row r="28" spans="1:4" x14ac:dyDescent="0.3">
      <c r="A28" s="2" t="s">
        <v>92</v>
      </c>
      <c r="B28" s="49">
        <v>0.3</v>
      </c>
    </row>
    <row r="29" spans="1:4" x14ac:dyDescent="0.3">
      <c r="B29" s="47"/>
    </row>
    <row r="30" spans="1:4" x14ac:dyDescent="0.3">
      <c r="A30" s="2" t="s">
        <v>93</v>
      </c>
      <c r="B30" s="47"/>
      <c r="D30" s="37" t="s">
        <v>103</v>
      </c>
    </row>
    <row r="31" spans="1:4" x14ac:dyDescent="0.3">
      <c r="A31" s="2" t="s">
        <v>91</v>
      </c>
      <c r="B31" s="49">
        <v>0.04</v>
      </c>
    </row>
    <row r="32" spans="1:4" x14ac:dyDescent="0.3">
      <c r="A32" s="2" t="s">
        <v>94</v>
      </c>
      <c r="B32" s="2">
        <f>B24*(1+B21/B20*(1-B28))</f>
        <v>0.87999999999999989</v>
      </c>
      <c r="D32" s="37" t="s">
        <v>101</v>
      </c>
    </row>
    <row r="33" spans="1:6" ht="39" x14ac:dyDescent="0.3">
      <c r="A33" s="37" t="s">
        <v>95</v>
      </c>
      <c r="B33" s="50">
        <f>B26+B32*B25</f>
        <v>8.2799999999999985E-2</v>
      </c>
      <c r="D33" s="51" t="s">
        <v>98</v>
      </c>
      <c r="E33" s="52">
        <f>+B26+B24*B25</f>
        <v>6.6000000000000003E-2</v>
      </c>
      <c r="F33" s="2" t="s">
        <v>104</v>
      </c>
    </row>
    <row r="35" spans="1:6" x14ac:dyDescent="0.3">
      <c r="A35" s="37" t="s">
        <v>96</v>
      </c>
      <c r="B35" s="53">
        <f>B33*B20/B22+B31*B21/B22*(1-B28)</f>
        <v>6.087999999999999E-2</v>
      </c>
      <c r="D35" s="37" t="s">
        <v>96</v>
      </c>
      <c r="E35" s="53">
        <f>+E33*(1-B28*(B21/B22))</f>
        <v>5.808E-2</v>
      </c>
      <c r="F35" s="2" t="s">
        <v>105</v>
      </c>
    </row>
    <row r="37" spans="1:6" x14ac:dyDescent="0.3">
      <c r="B37" s="35"/>
    </row>
    <row r="38" spans="1:6" x14ac:dyDescent="0.3">
      <c r="D38" s="37" t="s">
        <v>102</v>
      </c>
    </row>
    <row r="39" spans="1:6" ht="39" x14ac:dyDescent="0.3">
      <c r="D39" s="54" t="s">
        <v>99</v>
      </c>
      <c r="E39" s="52">
        <f>+E33+B21/B20*(E33-B31)*(1-B28)</f>
        <v>7.8133333333333332E-2</v>
      </c>
      <c r="F39" s="2" t="s">
        <v>100</v>
      </c>
    </row>
    <row r="40" spans="1:6" x14ac:dyDescent="0.3">
      <c r="D40" s="37" t="s">
        <v>96</v>
      </c>
      <c r="E40" s="53">
        <f>+E39*B20/B22+B21/B22*B31*(1-B28)</f>
        <v>5.808E-2</v>
      </c>
    </row>
    <row r="41" spans="1:6" x14ac:dyDescent="0.3">
      <c r="A41" s="37" t="s">
        <v>109</v>
      </c>
    </row>
    <row r="42" spans="1:6" x14ac:dyDescent="0.3">
      <c r="A42" s="2" t="s">
        <v>106</v>
      </c>
      <c r="B42" s="2">
        <v>0.5999999999999992</v>
      </c>
    </row>
    <row r="43" spans="1:6" x14ac:dyDescent="0.3">
      <c r="A43" s="2" t="s">
        <v>108</v>
      </c>
      <c r="B43" s="2">
        <f>+B24+(B24-B42)*B21/B20*(1-B28)</f>
        <v>0.60000000000000031</v>
      </c>
      <c r="C43" s="2" t="s">
        <v>107</v>
      </c>
    </row>
    <row r="44" spans="1:6" x14ac:dyDescent="0.3">
      <c r="B44" s="52">
        <f>+B26+B43*B25</f>
        <v>6.6000000000000017E-2</v>
      </c>
    </row>
    <row r="47" spans="1:6" x14ac:dyDescent="0.3">
      <c r="A47" s="2" t="s">
        <v>172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6</xdr:col>
                <xdr:colOff>139700</xdr:colOff>
                <xdr:row>29</xdr:row>
                <xdr:rowOff>152400</xdr:rowOff>
              </from>
              <to>
                <xdr:col>8</xdr:col>
                <xdr:colOff>38100</xdr:colOff>
                <xdr:row>32</xdr:row>
                <xdr:rowOff>158750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3" x14ac:dyDescent="0.3"/>
  <cols>
    <col min="1" max="1" width="17.7265625" style="2" bestFit="1" customWidth="1"/>
    <col min="2" max="16384" width="8.7265625" style="2"/>
  </cols>
  <sheetData>
    <row r="1" spans="1:2" x14ac:dyDescent="0.3">
      <c r="A1" s="37" t="s">
        <v>174</v>
      </c>
    </row>
    <row r="2" spans="1:2" x14ac:dyDescent="0.3">
      <c r="A2" s="2" t="s">
        <v>71</v>
      </c>
    </row>
    <row r="3" spans="1:2" x14ac:dyDescent="0.3">
      <c r="A3" s="2" t="s">
        <v>72</v>
      </c>
    </row>
    <row r="4" spans="1:2" x14ac:dyDescent="0.3">
      <c r="A4" s="2" t="s">
        <v>78</v>
      </c>
    </row>
    <row r="5" spans="1:2" x14ac:dyDescent="0.3">
      <c r="A5" s="2" t="s">
        <v>73</v>
      </c>
      <c r="B5" s="2">
        <v>200</v>
      </c>
    </row>
    <row r="6" spans="1:2" x14ac:dyDescent="0.3">
      <c r="A6" s="2" t="s">
        <v>75</v>
      </c>
      <c r="B6" s="2">
        <v>55</v>
      </c>
    </row>
    <row r="8" spans="1:2" x14ac:dyDescent="0.3">
      <c r="A8" s="2" t="s">
        <v>74</v>
      </c>
      <c r="B8" s="2">
        <v>30</v>
      </c>
    </row>
    <row r="9" spans="1:2" x14ac:dyDescent="0.3">
      <c r="A9" s="2" t="s">
        <v>76</v>
      </c>
      <c r="B9" s="2">
        <v>-25</v>
      </c>
    </row>
    <row r="10" spans="1:2" x14ac:dyDescent="0.3">
      <c r="A10" s="2" t="s">
        <v>77</v>
      </c>
      <c r="B10" s="2">
        <f>+B8-B9</f>
        <v>55</v>
      </c>
    </row>
    <row r="11" spans="1:2" x14ac:dyDescent="0.3">
      <c r="A11" s="2" t="s">
        <v>173</v>
      </c>
      <c r="B11" s="2">
        <f>+B5+B6-B10</f>
        <v>200</v>
      </c>
    </row>
    <row r="13" spans="1:2" x14ac:dyDescent="0.3">
      <c r="A13" s="2" t="s">
        <v>79</v>
      </c>
    </row>
    <row r="14" spans="1:2" x14ac:dyDescent="0.3">
      <c r="A14" s="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Industria de Diseno Textil SA |</vt:lpstr>
      <vt:lpstr>Capital Budgeting</vt:lpstr>
      <vt:lpstr>Multiple 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João Carvalho das Neves</dc:creator>
  <cp:lastModifiedBy>João Carvalho das Neves</cp:lastModifiedBy>
  <cp:lastPrinted>2019-01-25T15:55:19Z</cp:lastPrinted>
  <dcterms:created xsi:type="dcterms:W3CDTF">2019-01-07T17:41:43Z</dcterms:created>
  <dcterms:modified xsi:type="dcterms:W3CDTF">2019-01-26T08:57:32Z</dcterms:modified>
</cp:coreProperties>
</file>