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ereira\Documents\arquivos__temporarios\gfii\slides_and_underlying_mat\"/>
    </mc:Choice>
  </mc:AlternateContent>
  <bookViews>
    <workbookView xWindow="0" yWindow="0" windowWidth="19200" windowHeight="6924" activeTab="4"/>
  </bookViews>
  <sheets>
    <sheet name="example call" sheetId="1" r:id="rId1"/>
    <sheet name="example put" sheetId="2" r:id="rId2"/>
    <sheet name="example ii_binomial" sheetId="3" r:id="rId3"/>
    <sheet name="B_S valuation " sheetId="4" r:id="rId4"/>
    <sheet name="example ii_B-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4" l="1"/>
  <c r="B6" i="5" l="1"/>
  <c r="B8" i="5"/>
  <c r="B13" i="5" s="1"/>
  <c r="B23" i="5" l="1"/>
  <c r="B32" i="5" s="1"/>
  <c r="B18" i="5"/>
  <c r="B26" i="5" s="1"/>
  <c r="B34" i="5" s="1"/>
  <c r="B8" i="4"/>
  <c r="B13" i="4" s="1"/>
  <c r="D7" i="4"/>
  <c r="C19" i="3"/>
  <c r="D7" i="3"/>
  <c r="C10" i="3" s="1"/>
  <c r="M29" i="1"/>
  <c r="E22" i="1"/>
  <c r="L28" i="1"/>
  <c r="C34" i="1"/>
  <c r="J17" i="1"/>
  <c r="L24" i="1" s="1"/>
  <c r="E4" i="2"/>
  <c r="B7" i="2"/>
  <c r="D5" i="2"/>
  <c r="E5" i="2" s="1"/>
  <c r="D4" i="2"/>
  <c r="C7" i="1"/>
  <c r="E8" i="1" s="1"/>
  <c r="E5" i="1"/>
  <c r="F5" i="1" s="1"/>
  <c r="H5" i="1" s="1"/>
  <c r="E4" i="1"/>
  <c r="F4" i="1" s="1"/>
  <c r="L27" i="1" l="1"/>
  <c r="D35" i="1" s="1"/>
  <c r="D34" i="1"/>
  <c r="E34" i="1" s="1"/>
  <c r="E41" i="1" s="1"/>
  <c r="B32" i="4"/>
  <c r="B36" i="4" s="1"/>
  <c r="B18" i="4"/>
  <c r="B26" i="4" s="1"/>
  <c r="B34" i="4" s="1"/>
  <c r="L31" i="1"/>
  <c r="M28" i="1"/>
  <c r="L17" i="1"/>
  <c r="L20" i="1" s="1"/>
  <c r="C11" i="3"/>
  <c r="C12" i="3" s="1"/>
  <c r="C13" i="3" s="1"/>
  <c r="B36" i="5"/>
  <c r="D19" i="3"/>
  <c r="E19" i="3" s="1"/>
  <c r="G5" i="2"/>
  <c r="B11" i="2"/>
  <c r="G4" i="2"/>
  <c r="C11" i="1"/>
  <c r="H4" i="1"/>
  <c r="C14" i="3" l="1"/>
  <c r="E35" i="1"/>
  <c r="E42" i="1" s="1"/>
  <c r="D42" i="1" s="1"/>
  <c r="E36" i="1"/>
  <c r="E43" i="1" s="1"/>
  <c r="D20" i="3"/>
  <c r="M31" i="1"/>
  <c r="F19" i="3"/>
  <c r="F26" i="3" s="1"/>
  <c r="F5" i="2"/>
  <c r="H5" i="2" s="1"/>
  <c r="C11" i="2"/>
  <c r="F4" i="2"/>
  <c r="H4" i="2" s="1"/>
  <c r="C12" i="2" s="1"/>
  <c r="I4" i="2" s="1"/>
  <c r="D11" i="1"/>
  <c r="G5" i="1"/>
  <c r="I5" i="1" s="1"/>
  <c r="G4" i="1"/>
  <c r="I4" i="1" s="1"/>
  <c r="E20" i="3" l="1"/>
  <c r="E21" i="3"/>
  <c r="F22" i="3" s="1"/>
  <c r="F29" i="3" s="1"/>
  <c r="D41" i="1"/>
  <c r="C41" i="1" s="1"/>
  <c r="C13" i="2"/>
  <c r="I5" i="2"/>
  <c r="D12" i="1"/>
  <c r="F21" i="3" l="1"/>
  <c r="F28" i="3" s="1"/>
  <c r="E28" i="3" s="1"/>
  <c r="F20" i="3"/>
  <c r="F27" i="3" s="1"/>
  <c r="J5" i="1"/>
  <c r="J4" i="1"/>
  <c r="D13" i="1"/>
  <c r="E27" i="3" l="1"/>
  <c r="D27" i="3" s="1"/>
  <c r="E26" i="3"/>
  <c r="D26" i="3" s="1"/>
  <c r="C26" i="3" s="1"/>
</calcChain>
</file>

<file path=xl/sharedStrings.xml><?xml version="1.0" encoding="utf-8"?>
<sst xmlns="http://schemas.openxmlformats.org/spreadsheetml/2006/main" count="143" uniqueCount="84">
  <si>
    <t>Shares</t>
  </si>
  <si>
    <t>Exercise Price</t>
  </si>
  <si>
    <t>Stock Price</t>
  </si>
  <si>
    <t>Present</t>
  </si>
  <si>
    <t>Call Price</t>
  </si>
  <si>
    <t>Position in the risk-free asset</t>
  </si>
  <si>
    <t>Replicating Portfolio:</t>
  </si>
  <si>
    <t>Payoff from investment in stock</t>
  </si>
  <si>
    <t>Payoff from investment in call</t>
  </si>
  <si>
    <t>(1)</t>
  </si>
  <si>
    <t>(2)</t>
  </si>
  <si>
    <t>(3)</t>
  </si>
  <si>
    <t>(4)</t>
  </si>
  <si>
    <t>(5)</t>
  </si>
  <si>
    <t>Difference in payoffs (investment in stock - investment in call)</t>
  </si>
  <si>
    <t>Risk-free rate</t>
  </si>
  <si>
    <t>Time to maturity (t)</t>
  </si>
  <si>
    <t>Number of shares</t>
  </si>
  <si>
    <t>Value of the position</t>
  </si>
  <si>
    <t>Value of the call</t>
  </si>
  <si>
    <t>(6) = (4) - (5)</t>
  </si>
  <si>
    <t>Payoff from investment in replicating portfolio</t>
  </si>
  <si>
    <t xml:space="preserve">Future </t>
  </si>
  <si>
    <t>Price in d state</t>
  </si>
  <si>
    <t>Price in u state</t>
  </si>
  <si>
    <t>(7)</t>
  </si>
  <si>
    <t>Put Price</t>
  </si>
  <si>
    <t>1 + upside change =</t>
  </si>
  <si>
    <t>u =</t>
  </si>
  <si>
    <t xml:space="preserve">1 + downside change = </t>
  </si>
  <si>
    <t xml:space="preserve">d = </t>
  </si>
  <si>
    <t>Time to maturity (h)</t>
  </si>
  <si>
    <t xml:space="preserve">u = </t>
  </si>
  <si>
    <t>s =</t>
  </si>
  <si>
    <r>
      <rPr>
        <b/>
        <i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with h = </t>
    </r>
  </si>
  <si>
    <t>Binomial tree</t>
  </si>
  <si>
    <t>Time</t>
  </si>
  <si>
    <t>Stock prices</t>
  </si>
  <si>
    <t>Call option prices</t>
  </si>
  <si>
    <t>p =</t>
  </si>
  <si>
    <t>a =</t>
  </si>
  <si>
    <t>r</t>
  </si>
  <si>
    <r>
      <t>r</t>
    </r>
    <r>
      <rPr>
        <vertAlign val="subscript"/>
        <sz val="11"/>
        <color theme="1"/>
        <rFont val="Calibri"/>
        <family val="2"/>
        <scheme val="minor"/>
      </rPr>
      <t>quarterly</t>
    </r>
    <r>
      <rPr>
        <sz val="11"/>
        <color theme="1"/>
        <rFont val="Calibri"/>
        <family val="2"/>
        <scheme val="minor"/>
      </rPr>
      <t xml:space="preserve"> =</t>
    </r>
  </si>
  <si>
    <t>Formulation I</t>
  </si>
  <si>
    <t>Formulation II</t>
  </si>
  <si>
    <t>Based on Formulation I</t>
  </si>
  <si>
    <t>Based on Formulation II</t>
  </si>
  <si>
    <t>Price =</t>
  </si>
  <si>
    <t>Strike =</t>
  </si>
  <si>
    <t>t =</t>
  </si>
  <si>
    <t>90/365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</si>
  <si>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= h</t>
    </r>
  </si>
  <si>
    <t>30/365</t>
  </si>
  <si>
    <t>Example II:</t>
  </si>
  <si>
    <t>d =</t>
  </si>
  <si>
    <r>
      <t>p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</si>
  <si>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</si>
  <si>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t>Price of stock (now)</t>
  </si>
  <si>
    <t>Exercise price (EX)</t>
  </si>
  <si>
    <r>
      <t xml:space="preserve">Standard deviation of continuously compounded annual return = </t>
    </r>
    <r>
      <rPr>
        <sz val="11"/>
        <color theme="1"/>
        <rFont val="Symbol"/>
        <family val="1"/>
        <charset val="2"/>
      </rPr>
      <t>s =</t>
    </r>
  </si>
  <si>
    <t>Years to maturity</t>
  </si>
  <si>
    <t>Interest rate per annum</t>
  </si>
  <si>
    <t xml:space="preserve">Or, </t>
  </si>
  <si>
    <t>per semester</t>
  </si>
  <si>
    <t>PV(EX)</t>
  </si>
  <si>
    <t>=</t>
  </si>
  <si>
    <t>Step 1 (Calculation of d1 and d2):</t>
  </si>
  <si>
    <r>
      <t>Step 2 (Calculation of N(d</t>
    </r>
    <r>
      <rPr>
        <b/>
        <i/>
        <vertAlign val="subscript"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>) and N(d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)):</t>
    </r>
  </si>
  <si>
    <r>
      <t>N(d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) </t>
    </r>
  </si>
  <si>
    <r>
      <t>N(d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</si>
  <si>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Step 3 (Calculation of value of the call):</t>
  </si>
  <si>
    <t>Call</t>
  </si>
  <si>
    <r>
      <t>d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</si>
  <si>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</si>
  <si>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N(d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x P</t>
    </r>
  </si>
  <si>
    <r>
      <t>N(d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x PV(EX)</t>
    </r>
  </si>
  <si>
    <t>Apple call option:</t>
  </si>
  <si>
    <t>Example 2 (Apple call option):</t>
  </si>
  <si>
    <t xml:space="preserve">                   "up" move of 17,9%</t>
  </si>
  <si>
    <t xml:space="preserve">                   "down" move of 14,6%</t>
  </si>
  <si>
    <r>
      <t xml:space="preserve">(There is a probability of 48,62% that the underlying normally distributed variable will be less than 0,0345  standard deviations </t>
    </r>
    <r>
      <rPr>
        <u/>
        <sz val="11"/>
        <color theme="1"/>
        <rFont val="Calibri"/>
        <family val="2"/>
        <scheme val="minor"/>
      </rPr>
      <t>below</t>
    </r>
    <r>
      <rPr>
        <sz val="11"/>
        <color theme="1"/>
        <rFont val="Calibri"/>
        <family val="2"/>
        <scheme val="minor"/>
      </rPr>
      <t xml:space="preserve"> the mean)</t>
    </r>
  </si>
  <si>
    <r>
      <t xml:space="preserve">(There is a probability of 57,48% that the underlying normally distributed variable will be less than 0,1887 standard deviations </t>
    </r>
    <r>
      <rPr>
        <u/>
        <sz val="11"/>
        <color theme="1"/>
        <rFont val="Calibri"/>
        <family val="2"/>
        <scheme val="minor"/>
      </rPr>
      <t>above</t>
    </r>
    <r>
      <rPr>
        <sz val="11"/>
        <color theme="1"/>
        <rFont val="Calibri"/>
        <family val="2"/>
        <scheme val="minor"/>
      </rPr>
      <t xml:space="preserve"> the mean)</t>
    </r>
  </si>
  <si>
    <r>
      <t xml:space="preserve">(There is a probability of 37,72% that the underlying normally distributed variable will be less than 0,3128 standard deviations </t>
    </r>
    <r>
      <rPr>
        <u/>
        <sz val="11"/>
        <color theme="1"/>
        <rFont val="Calibri"/>
        <family val="2"/>
        <scheme val="minor"/>
      </rPr>
      <t>below</t>
    </r>
    <r>
      <rPr>
        <sz val="11"/>
        <color theme="1"/>
        <rFont val="Calibri"/>
        <family val="2"/>
        <scheme val="minor"/>
      </rPr>
      <t xml:space="preserve"> the mean)</t>
    </r>
  </si>
  <si>
    <r>
      <t xml:space="preserve">(There is a probability of 30,45% that the underlying normally distributed variable will be less than 0,5114 standard deviations </t>
    </r>
    <r>
      <rPr>
        <u/>
        <sz val="11"/>
        <color theme="1"/>
        <rFont val="Calibri"/>
        <family val="2"/>
        <scheme val="minor"/>
      </rPr>
      <t>below</t>
    </r>
    <r>
      <rPr>
        <sz val="11"/>
        <color theme="1"/>
        <rFont val="Calibri"/>
        <family val="2"/>
        <scheme val="minor"/>
      </rPr>
      <t xml:space="preserve"> the mean)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</si>
</sst>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000"/>
    <numFmt numFmtId="166" formatCode="0.000"/>
    <numFmt numFmtId="167" formatCode="0.0%"/>
    <numFmt numFmtId="168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9" fontId="0" fillId="0" borderId="0" xfId="1" applyFont="1"/>
    <xf numFmtId="167" fontId="0" fillId="0" borderId="0" xfId="1" applyNumberFormat="1" applyFont="1"/>
    <xf numFmtId="0" fontId="3" fillId="0" borderId="0" xfId="0" applyFont="1" applyAlignment="1">
      <alignment horizontal="left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166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166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2" fontId="0" fillId="0" borderId="0" xfId="0" applyNumberFormat="1" applyBorder="1"/>
    <xf numFmtId="166" fontId="0" fillId="2" borderId="1" xfId="0" applyNumberForma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7" fillId="0" borderId="0" xfId="0" applyFont="1"/>
    <xf numFmtId="168" fontId="0" fillId="2" borderId="0" xfId="1" applyNumberFormat="1" applyFont="1" applyFill="1"/>
    <xf numFmtId="10" fontId="0" fillId="2" borderId="0" xfId="1" applyNumberFormat="1" applyFont="1" applyFill="1"/>
    <xf numFmtId="0" fontId="2" fillId="0" borderId="0" xfId="0" applyFont="1" applyAlignment="1">
      <alignment horizontal="center"/>
    </xf>
    <xf numFmtId="0" fontId="2" fillId="3" borderId="0" xfId="0" applyFont="1" applyFill="1"/>
    <xf numFmtId="166" fontId="0" fillId="2" borderId="0" xfId="0" applyNumberFormat="1" applyFill="1" applyAlignment="1">
      <alignment horizontal="center" wrapText="1"/>
    </xf>
    <xf numFmtId="0" fontId="0" fillId="4" borderId="0" xfId="0" applyFill="1"/>
    <xf numFmtId="165" fontId="0" fillId="4" borderId="0" xfId="0" applyNumberFormat="1" applyFill="1"/>
    <xf numFmtId="0" fontId="2" fillId="4" borderId="0" xfId="0" applyFont="1" applyFill="1"/>
    <xf numFmtId="0" fontId="0" fillId="5" borderId="0" xfId="0" applyFill="1"/>
    <xf numFmtId="165" fontId="0" fillId="5" borderId="0" xfId="0" applyNumberFormat="1" applyFill="1"/>
    <xf numFmtId="166" fontId="0" fillId="2" borderId="0" xfId="0" applyNumberFormat="1" applyFill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5" fontId="0" fillId="2" borderId="0" xfId="0" applyNumberFormat="1" applyFill="1"/>
    <xf numFmtId="2" fontId="0" fillId="3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CC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205740</xdr:colOff>
      <xdr:row>15</xdr:row>
      <xdr:rowOff>154305</xdr:rowOff>
    </xdr:from>
    <xdr:ext cx="502920" cy="2069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539490" y="3811905"/>
              <a:ext cx="502920" cy="2069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</m:rad>
                      </m:sup>
                    </m:sSup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539490" y="3811905"/>
              <a:ext cx="502920" cy="2069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𝑒^(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𝜎√ℎ)</a:t>
              </a:r>
              <a:r>
                <a:rPr lang="pt-PT" sz="1100" b="0" i="0">
                  <a:latin typeface="Cambria Math" panose="02040503050406030204" pitchFamily="18" charset="0"/>
                </a:rPr>
                <a:t>=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3</xdr:col>
      <xdr:colOff>308610</xdr:colOff>
      <xdr:row>17</xdr:row>
      <xdr:rowOff>89535</xdr:rowOff>
    </xdr:from>
    <xdr:ext cx="415290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009900" y="3747135"/>
              <a:ext cx="41529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009900" y="3747135"/>
              <a:ext cx="41529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1/𝑢=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5</xdr:col>
      <xdr:colOff>182880</xdr:colOff>
      <xdr:row>15</xdr:row>
      <xdr:rowOff>179070</xdr:rowOff>
    </xdr:from>
    <xdr:to>
      <xdr:col>5</xdr:col>
      <xdr:colOff>697230</xdr:colOff>
      <xdr:row>16</xdr:row>
      <xdr:rowOff>175260</xdr:rowOff>
    </xdr:to>
    <xdr:sp macro="" textlink="">
      <xdr:nvSpPr>
        <xdr:cNvPr id="4" name="Right Arrow 3"/>
        <xdr:cNvSpPr/>
      </xdr:nvSpPr>
      <xdr:spPr>
        <a:xfrm>
          <a:off x="4370070" y="4385310"/>
          <a:ext cx="514350" cy="17907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oneCellAnchor>
    <xdr:from>
      <xdr:col>6</xdr:col>
      <xdr:colOff>163830</xdr:colOff>
      <xdr:row>14</xdr:row>
      <xdr:rowOff>0</xdr:rowOff>
    </xdr:from>
    <xdr:ext cx="1454565" cy="7527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5212080" y="4010025"/>
              <a:ext cx="1454565" cy="7527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 panose="02040503050406030204" pitchFamily="18" charset="0"/>
                      </a:rPr>
                      <m:t>1,25=</m:t>
                    </m:r>
                    <m:sSup>
                      <m:sSup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</m:rad>
                      </m:sup>
                    </m:sSup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→</m:t>
                    </m:r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pt-PT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</m:func>
                      </m:num>
                      <m:den>
                        <m:rad>
                          <m:radPr>
                            <m:degHide m:val="on"/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𝑢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pt-PT" sz="110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pt-PT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1,25</m:t>
                                </m:r>
                              </m:e>
                            </m:d>
                          </m:e>
                        </m:func>
                      </m:num>
                      <m:den>
                        <m:rad>
                          <m:radPr>
                            <m:degHide m:val="on"/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0,5</m:t>
                            </m:r>
                          </m:e>
                        </m:rad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=0,3156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5212080" y="4010025"/>
              <a:ext cx="1454565" cy="7527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1,25=𝑒^(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𝜎√ℎ)→𝜎=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n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⁡𝑢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/√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𝑢</a:t>
              </a:r>
              <a:endParaRPr lang="pt-PT" sz="1100"/>
            </a:p>
            <a:p>
              <a:r>
                <a:rPr lang="pt-PT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n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⁡(1,25)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/√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0,5=0,3156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3</xdr:col>
      <xdr:colOff>205740</xdr:colOff>
      <xdr:row>22</xdr:row>
      <xdr:rowOff>154305</xdr:rowOff>
    </xdr:from>
    <xdr:ext cx="502920" cy="2069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3539490" y="5126355"/>
              <a:ext cx="502920" cy="2069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</m:rad>
                      </m:sup>
                    </m:sSup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3539490" y="5126355"/>
              <a:ext cx="502920" cy="2069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𝑒^(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𝜎√ℎ)</a:t>
              </a:r>
              <a:r>
                <a:rPr lang="pt-PT" sz="1100" b="0" i="0">
                  <a:latin typeface="Cambria Math" panose="02040503050406030204" pitchFamily="18" charset="0"/>
                </a:rPr>
                <a:t>=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3</xdr:col>
      <xdr:colOff>308610</xdr:colOff>
      <xdr:row>24</xdr:row>
      <xdr:rowOff>89535</xdr:rowOff>
    </xdr:from>
    <xdr:ext cx="415290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3009900" y="4116705"/>
              <a:ext cx="41529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3009900" y="4116705"/>
              <a:ext cx="41529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1/𝑢=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5</xdr:col>
      <xdr:colOff>182880</xdr:colOff>
      <xdr:row>22</xdr:row>
      <xdr:rowOff>179070</xdr:rowOff>
    </xdr:from>
    <xdr:to>
      <xdr:col>5</xdr:col>
      <xdr:colOff>697230</xdr:colOff>
      <xdr:row>23</xdr:row>
      <xdr:rowOff>175260</xdr:rowOff>
    </xdr:to>
    <xdr:sp macro="" textlink="">
      <xdr:nvSpPr>
        <xdr:cNvPr id="10" name="Right Arrow 9"/>
        <xdr:cNvSpPr/>
      </xdr:nvSpPr>
      <xdr:spPr>
        <a:xfrm>
          <a:off x="4370070" y="3836670"/>
          <a:ext cx="514350" cy="17907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oneCellAnchor>
    <xdr:from>
      <xdr:col>6</xdr:col>
      <xdr:colOff>163830</xdr:colOff>
      <xdr:row>21</xdr:row>
      <xdr:rowOff>0</xdr:rowOff>
    </xdr:from>
    <xdr:ext cx="1454565" cy="7527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5212080" y="3474720"/>
              <a:ext cx="1454565" cy="7527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 panose="02040503050406030204" pitchFamily="18" charset="0"/>
                      </a:rPr>
                      <m:t>1,25=</m:t>
                    </m:r>
                    <m:sSup>
                      <m:sSup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e>
                        </m:rad>
                      </m:sup>
                    </m:sSup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→</m:t>
                    </m:r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pt-PT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</m:func>
                      </m:num>
                      <m:den>
                        <m:rad>
                          <m:radPr>
                            <m:degHide m:val="on"/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𝑢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pt-PT" sz="110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pt-PT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1,25</m:t>
                                </m:r>
                              </m:e>
                            </m:d>
                          </m:e>
                        </m:func>
                      </m:num>
                      <m:den>
                        <m:rad>
                          <m:radPr>
                            <m:degHide m:val="on"/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0,5</m:t>
                            </m:r>
                          </m:e>
                        </m:rad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=0,3156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5212080" y="3474720"/>
              <a:ext cx="1454565" cy="7527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1,25=𝑒^(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𝜎√ℎ)→𝜎=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n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⁡𝑢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/√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𝑢</a:t>
              </a:r>
              <a:endParaRPr lang="pt-PT" sz="1100"/>
            </a:p>
            <a:p>
              <a:r>
                <a:rPr lang="pt-PT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l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n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⁡(1,25)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/√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0,5=0,3156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6</xdr:col>
      <xdr:colOff>186690</xdr:colOff>
      <xdr:row>27</xdr:row>
      <xdr:rowOff>13335</xdr:rowOff>
    </xdr:from>
    <xdr:ext cx="502189" cy="1788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5234940" y="5873115"/>
              <a:ext cx="502189" cy="1788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𝑟h</m:t>
                        </m:r>
                      </m:sup>
                    </m:sSup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5234940" y="5873115"/>
              <a:ext cx="502189" cy="1788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𝑎=𝑒^𝑟ℎ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5</xdr:col>
      <xdr:colOff>76200</xdr:colOff>
      <xdr:row>29</xdr:row>
      <xdr:rowOff>215265</xdr:rowOff>
    </xdr:from>
    <xdr:ext cx="3001271" cy="3510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4263390" y="6471285"/>
              <a:ext cx="3001271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𝑖𝑛𝑡𝑒𝑟𝑒𝑠𝑡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𝑟𝑎𝑡𝑒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𝑑𝑜𝑤𝑛𝑠𝑖𝑑𝑒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𝑐h𝑎𝑛𝑔𝑒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𝑢𝑝𝑠𝑖𝑑𝑒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𝑐h𝑎𝑛𝑔𝑒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𝑑𝑜𝑤𝑛𝑠𝑖𝑑𝑒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𝑐h𝑎𝑛𝑔𝑒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𝑎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4263390" y="6471285"/>
              <a:ext cx="3001271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𝑝=(𝑖𝑛𝑡𝑒𝑟𝑒𝑠𝑡 𝑟𝑎𝑡𝑒 −𝑑𝑜𝑤𝑛𝑠𝑖𝑑𝑒 𝑐ℎ𝑎𝑛𝑔𝑒)/(𝑢𝑝𝑠𝑖𝑑𝑒 𝑐ℎ𝑎𝑛𝑔𝑒−𝑑𝑜𝑤𝑛𝑠𝑖𝑑𝑒 𝑐ℎ𝑎𝑛𝑔𝑒)=(𝑎−𝑑)/(𝑢−𝑑)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12</xdr:col>
      <xdr:colOff>0</xdr:colOff>
      <xdr:row>23</xdr:row>
      <xdr:rowOff>0</xdr:rowOff>
    </xdr:from>
    <xdr:to>
      <xdr:col>12</xdr:col>
      <xdr:colOff>514350</xdr:colOff>
      <xdr:row>23</xdr:row>
      <xdr:rowOff>179070</xdr:rowOff>
    </xdr:to>
    <xdr:sp macro="" textlink="">
      <xdr:nvSpPr>
        <xdr:cNvPr id="14" name="Right Arrow 13"/>
        <xdr:cNvSpPr/>
      </xdr:nvSpPr>
      <xdr:spPr>
        <a:xfrm>
          <a:off x="10687050" y="5154930"/>
          <a:ext cx="514350" cy="17907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514350</xdr:colOff>
      <xdr:row>26</xdr:row>
      <xdr:rowOff>179070</xdr:rowOff>
    </xdr:to>
    <xdr:sp macro="" textlink="">
      <xdr:nvSpPr>
        <xdr:cNvPr id="15" name="Right Arrow 14"/>
        <xdr:cNvSpPr/>
      </xdr:nvSpPr>
      <xdr:spPr>
        <a:xfrm>
          <a:off x="10687050" y="5154930"/>
          <a:ext cx="514350" cy="17907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</xdr:row>
          <xdr:rowOff>22860</xdr:rowOff>
        </xdr:from>
        <xdr:to>
          <xdr:col>7</xdr:col>
          <xdr:colOff>99060</xdr:colOff>
          <xdr:row>9</xdr:row>
          <xdr:rowOff>167640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11</xdr:row>
          <xdr:rowOff>15240</xdr:rowOff>
        </xdr:from>
        <xdr:to>
          <xdr:col>4</xdr:col>
          <xdr:colOff>533400</xdr:colOff>
          <xdr:row>14</xdr:row>
          <xdr:rowOff>30480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69353</xdr:rowOff>
        </xdr:from>
        <xdr:to>
          <xdr:col>4</xdr:col>
          <xdr:colOff>165602</xdr:colOff>
          <xdr:row>18</xdr:row>
          <xdr:rowOff>87631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5</xdr:col>
      <xdr:colOff>281940</xdr:colOff>
      <xdr:row>11</xdr:row>
      <xdr:rowOff>1</xdr:rowOff>
    </xdr:from>
    <xdr:ext cx="2091690" cy="63036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5162550" y="2198371"/>
              <a:ext cx="2091690" cy="630365"/>
            </a:xfrm>
            <a:prstGeom prst="rect">
              <a:avLst/>
            </a:prstGeom>
            <a:solidFill>
              <a:srgbClr val="FFFF00"/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pt-PT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pt-PT" sz="14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pt-PT" sz="1400" b="0" i="0">
                                <a:latin typeface="Cambria Math" panose="02040503050406030204" pitchFamily="18" charset="0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pt-PT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pt-PT" sz="1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pt-PT" sz="1400" b="0" i="1">
                                        <a:latin typeface="Cambria Math" panose="02040503050406030204" pitchFamily="18" charset="0"/>
                                      </a:rPr>
                                      <m:t>𝑃</m:t>
                                    </m:r>
                                  </m:num>
                                  <m:den>
                                    <m:r>
                                      <a:rPr lang="pt-PT" sz="1400" b="0" i="1">
                                        <a:latin typeface="Cambria Math" panose="02040503050406030204" pitchFamily="18" charset="0"/>
                                      </a:rPr>
                                      <m:t>𝑃𝑉</m:t>
                                    </m:r>
                                    <m:d>
                                      <m:dPr>
                                        <m:ctrlPr>
                                          <a:rPr lang="pt-PT" sz="14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PT" sz="1400" b="0" i="1">
                                            <a:latin typeface="Cambria Math" panose="02040503050406030204" pitchFamily="18" charset="0"/>
                                          </a:rPr>
                                          <m:t>𝐸𝑋</m:t>
                                        </m:r>
                                      </m:e>
                                    </m:d>
                                  </m:den>
                                </m:f>
                              </m:e>
                            </m:d>
                          </m:e>
                        </m:func>
                      </m:num>
                      <m:den>
                        <m:r>
                          <a:rPr lang="pt-PT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pt-PT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den>
                    </m:f>
                    <m:r>
                      <a:rPr lang="pt-PT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pt-PT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num>
                      <m:den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pt-PT" sz="14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5162550" y="2198371"/>
              <a:ext cx="2091690" cy="630365"/>
            </a:xfrm>
            <a:prstGeom prst="rect">
              <a:avLst/>
            </a:prstGeom>
            <a:solidFill>
              <a:srgbClr val="FFFF00"/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400" b="0" i="0">
                  <a:latin typeface="Cambria Math" panose="02040503050406030204" pitchFamily="18" charset="0"/>
                </a:rPr>
                <a:t>𝑑_1=ln⁡[𝑃/𝑃𝑉(𝐸𝑋) ]/(</a:t>
              </a:r>
              <a:r>
                <a:rPr lang="pt-PT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𝜎√𝑡)</a:t>
              </a:r>
              <a:r>
                <a:rPr lang="pt-PT" sz="1400" b="0" i="0">
                  <a:latin typeface="Cambria Math" panose="02040503050406030204" pitchFamily="18" charset="0"/>
                </a:rPr>
                <a:t>+(</a:t>
              </a:r>
              <a:r>
                <a:rPr lang="pt-PT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𝜎√𝑡)/</a:t>
              </a:r>
              <a:r>
                <a:rPr lang="pt-PT" sz="1400" b="0" i="0">
                  <a:latin typeface="Cambria Math" panose="02040503050406030204" pitchFamily="18" charset="0"/>
                </a:rPr>
                <a:t>2</a:t>
              </a:r>
              <a:endParaRPr lang="pt-PT" sz="14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617220</xdr:colOff>
          <xdr:row>28</xdr:row>
          <xdr:rowOff>7620</xdr:rowOff>
        </xdr:from>
        <xdr:to>
          <xdr:col>7</xdr:col>
          <xdr:colOff>45720</xdr:colOff>
          <xdr:row>29</xdr:row>
          <xdr:rowOff>152400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182880</xdr:colOff>
          <xdr:row>32</xdr:row>
          <xdr:rowOff>38100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4</xdr:col>
          <xdr:colOff>45720</xdr:colOff>
          <xdr:row>34</xdr:row>
          <xdr:rowOff>38100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</xdr:row>
          <xdr:rowOff>175260</xdr:rowOff>
        </xdr:from>
        <xdr:to>
          <xdr:col>7</xdr:col>
          <xdr:colOff>99060</xdr:colOff>
          <xdr:row>9</xdr:row>
          <xdr:rowOff>137160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11</xdr:row>
          <xdr:rowOff>15240</xdr:rowOff>
        </xdr:from>
        <xdr:to>
          <xdr:col>4</xdr:col>
          <xdr:colOff>533400</xdr:colOff>
          <xdr:row>14</xdr:row>
          <xdr:rowOff>30480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110490</xdr:rowOff>
        </xdr:from>
        <xdr:to>
          <xdr:col>3</xdr:col>
          <xdr:colOff>487680</xdr:colOff>
          <xdr:row>18</xdr:row>
          <xdr:rowOff>41910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5</xdr:col>
      <xdr:colOff>281940</xdr:colOff>
      <xdr:row>11</xdr:row>
      <xdr:rowOff>1</xdr:rowOff>
    </xdr:from>
    <xdr:ext cx="2091690" cy="63036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/>
            <xdr:cNvSpPr txBox="1"/>
          </xdr:nvSpPr>
          <xdr:spPr>
            <a:xfrm>
              <a:off x="5349240" y="2198371"/>
              <a:ext cx="2091690" cy="630365"/>
            </a:xfrm>
            <a:prstGeom prst="rect">
              <a:avLst/>
            </a:prstGeom>
            <a:solidFill>
              <a:srgbClr val="FFFF00"/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pt-PT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pt-PT" sz="14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pt-PT" sz="1400" b="0" i="0">
                                <a:latin typeface="Cambria Math" panose="02040503050406030204" pitchFamily="18" charset="0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pt-PT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pt-PT" sz="1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pt-PT" sz="1400" b="0" i="1">
                                        <a:latin typeface="Cambria Math" panose="02040503050406030204" pitchFamily="18" charset="0"/>
                                      </a:rPr>
                                      <m:t>𝑃</m:t>
                                    </m:r>
                                  </m:num>
                                  <m:den>
                                    <m:r>
                                      <a:rPr lang="pt-PT" sz="1400" b="0" i="1">
                                        <a:latin typeface="Cambria Math" panose="02040503050406030204" pitchFamily="18" charset="0"/>
                                      </a:rPr>
                                      <m:t>𝑃𝑉</m:t>
                                    </m:r>
                                    <m:d>
                                      <m:dPr>
                                        <m:ctrlPr>
                                          <a:rPr lang="pt-PT" sz="14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PT" sz="1400" b="0" i="1">
                                            <a:latin typeface="Cambria Math" panose="02040503050406030204" pitchFamily="18" charset="0"/>
                                          </a:rPr>
                                          <m:t>𝐸𝑋</m:t>
                                        </m:r>
                                      </m:e>
                                    </m:d>
                                  </m:den>
                                </m:f>
                              </m:e>
                            </m:d>
                          </m:e>
                        </m:func>
                      </m:num>
                      <m:den>
                        <m:r>
                          <a:rPr lang="pt-PT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pt-PT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den>
                    </m:f>
                    <m:r>
                      <a:rPr lang="pt-PT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pt-PT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pt-PT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pt-PT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𝑡</m:t>
                            </m:r>
                          </m:e>
                        </m:rad>
                      </m:num>
                      <m:den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pt-PT" sz="1400"/>
            </a:p>
          </xdr:txBody>
        </xdr:sp>
      </mc:Choice>
      <mc:Fallback>
        <xdr:sp macro="" textlink="">
          <xdr:nvSpPr>
            <xdr:cNvPr id="19" name="TextBox 18"/>
            <xdr:cNvSpPr txBox="1"/>
          </xdr:nvSpPr>
          <xdr:spPr>
            <a:xfrm>
              <a:off x="5349240" y="2198371"/>
              <a:ext cx="2091690" cy="630365"/>
            </a:xfrm>
            <a:prstGeom prst="rect">
              <a:avLst/>
            </a:prstGeom>
            <a:solidFill>
              <a:srgbClr val="FFFF00"/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400" b="0" i="0">
                  <a:latin typeface="Cambria Math" panose="02040503050406030204" pitchFamily="18" charset="0"/>
                </a:rPr>
                <a:t>𝑑_1=ln⁡[𝑃/𝑃𝑉(𝐸𝑋) ]/(</a:t>
              </a:r>
              <a:r>
                <a:rPr lang="pt-PT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𝜎√𝑡)</a:t>
              </a:r>
              <a:r>
                <a:rPr lang="pt-PT" sz="1400" b="0" i="0">
                  <a:latin typeface="Cambria Math" panose="02040503050406030204" pitchFamily="18" charset="0"/>
                </a:rPr>
                <a:t>+(</a:t>
              </a:r>
              <a:r>
                <a:rPr lang="pt-PT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𝜎√𝑡)/</a:t>
              </a:r>
              <a:r>
                <a:rPr lang="pt-PT" sz="1400" b="0" i="0">
                  <a:latin typeface="Cambria Math" panose="02040503050406030204" pitchFamily="18" charset="0"/>
                </a:rPr>
                <a:t>2</a:t>
              </a:r>
              <a:endParaRPr lang="pt-PT" sz="14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617220</xdr:colOff>
          <xdr:row>28</xdr:row>
          <xdr:rowOff>7620</xdr:rowOff>
        </xdr:from>
        <xdr:to>
          <xdr:col>7</xdr:col>
          <xdr:colOff>45720</xdr:colOff>
          <xdr:row>29</xdr:row>
          <xdr:rowOff>152400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182880</xdr:colOff>
          <xdr:row>32</xdr:row>
          <xdr:rowOff>38100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4</xdr:col>
          <xdr:colOff>45720</xdr:colOff>
          <xdr:row>34</xdr:row>
          <xdr:rowOff>38100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13" Type="http://schemas.openxmlformats.org/officeDocument/2006/relationships/oleObject" Target="../embeddings/oleObject12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8.bin"/><Relationship Id="rId11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7.bin"/><Relationship Id="rId9" Type="http://schemas.openxmlformats.org/officeDocument/2006/relationships/image" Target="../media/image6.emf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showGridLines="0" topLeftCell="A13" workbookViewId="0">
      <selection activeCell="L24" sqref="L24"/>
    </sheetView>
  </sheetViews>
  <sheetFormatPr defaultRowHeight="14.4" x14ac:dyDescent="0.55000000000000004"/>
  <cols>
    <col min="2" max="2" width="25.1015625" customWidth="1"/>
    <col min="3" max="3" width="12.1015625" bestFit="1" customWidth="1"/>
    <col min="4" max="4" width="11.68359375" bestFit="1" customWidth="1"/>
    <col min="6" max="6" width="11.89453125" customWidth="1"/>
    <col min="7" max="7" width="12.3125" customWidth="1"/>
    <col min="8" max="8" width="10.89453125" customWidth="1"/>
    <col min="9" max="9" width="15.1015625" customWidth="1"/>
    <col min="10" max="10" width="9.7890625" customWidth="1"/>
    <col min="12" max="12" width="12.20703125" customWidth="1"/>
    <col min="13" max="13" width="11.68359375" customWidth="1"/>
  </cols>
  <sheetData>
    <row r="1" spans="2:10" ht="86.4" x14ac:dyDescent="0.55000000000000004">
      <c r="B1" s="17"/>
      <c r="C1" s="17"/>
      <c r="D1" s="20" t="s">
        <v>2</v>
      </c>
      <c r="E1" s="14" t="s">
        <v>1</v>
      </c>
      <c r="F1" s="20" t="s">
        <v>4</v>
      </c>
      <c r="G1" s="14" t="s">
        <v>7</v>
      </c>
      <c r="H1" s="14" t="s">
        <v>8</v>
      </c>
      <c r="I1" s="14" t="s">
        <v>14</v>
      </c>
      <c r="J1" s="14" t="s">
        <v>21</v>
      </c>
    </row>
    <row r="2" spans="2:10" x14ac:dyDescent="0.55000000000000004">
      <c r="B2" s="17"/>
      <c r="C2" s="17"/>
      <c r="D2" s="21" t="s">
        <v>9</v>
      </c>
      <c r="E2" s="21" t="s">
        <v>10</v>
      </c>
      <c r="F2" s="21" t="s">
        <v>11</v>
      </c>
      <c r="G2" s="21" t="s">
        <v>12</v>
      </c>
      <c r="H2" s="21" t="s">
        <v>13</v>
      </c>
      <c r="I2" s="21" t="s">
        <v>20</v>
      </c>
      <c r="J2" s="21" t="s">
        <v>25</v>
      </c>
    </row>
    <row r="3" spans="2:10" x14ac:dyDescent="0.55000000000000004">
      <c r="B3" s="17" t="s">
        <v>3</v>
      </c>
      <c r="C3" s="17"/>
      <c r="D3" s="17">
        <v>400</v>
      </c>
      <c r="E3" s="17">
        <v>400</v>
      </c>
      <c r="F3" s="17"/>
      <c r="G3" s="17"/>
      <c r="H3" s="17"/>
      <c r="I3" s="17"/>
      <c r="J3" s="17"/>
    </row>
    <row r="4" spans="2:10" x14ac:dyDescent="0.55000000000000004">
      <c r="B4" s="44" t="s">
        <v>22</v>
      </c>
      <c r="C4" s="22" t="s">
        <v>24</v>
      </c>
      <c r="D4" s="17">
        <v>500</v>
      </c>
      <c r="E4" s="17">
        <f>E3</f>
        <v>400</v>
      </c>
      <c r="F4" s="17">
        <f>MAX(D4-E4,0)</f>
        <v>100</v>
      </c>
      <c r="G4" s="23">
        <f>$C$11*D4</f>
        <v>277.77777777777777</v>
      </c>
      <c r="H4" s="17">
        <f>F4</f>
        <v>100</v>
      </c>
      <c r="I4" s="23">
        <f>G4-H4</f>
        <v>177.77777777777777</v>
      </c>
      <c r="J4" s="17">
        <f>(D4*$C$11)+($D$12*(1+$C$8)^$C$7)</f>
        <v>100</v>
      </c>
    </row>
    <row r="5" spans="2:10" x14ac:dyDescent="0.55000000000000004">
      <c r="B5" s="44"/>
      <c r="C5" s="22" t="s">
        <v>23</v>
      </c>
      <c r="D5" s="17">
        <v>320</v>
      </c>
      <c r="E5" s="17">
        <f>E3</f>
        <v>400</v>
      </c>
      <c r="F5" s="17">
        <f>MAX(D5-E5,0)</f>
        <v>0</v>
      </c>
      <c r="G5" s="23">
        <f>$C$11*D5</f>
        <v>177.77777777777777</v>
      </c>
      <c r="H5" s="17">
        <f>F5</f>
        <v>0</v>
      </c>
      <c r="I5" s="23">
        <f>G5-H5</f>
        <v>177.77777777777777</v>
      </c>
      <c r="J5" s="17">
        <f>(D5*$C$11)+($D$12*(1+$C$8)^$C$7)</f>
        <v>0</v>
      </c>
    </row>
    <row r="6" spans="2:10" x14ac:dyDescent="0.55000000000000004">
      <c r="B6" s="24"/>
      <c r="C6" s="25"/>
      <c r="D6" s="26"/>
      <c r="E6" s="26"/>
      <c r="F6" s="26"/>
      <c r="G6" s="27"/>
      <c r="H6" s="26"/>
      <c r="I6" s="27"/>
      <c r="J6" s="26"/>
    </row>
    <row r="7" spans="2:10" x14ac:dyDescent="0.55000000000000004">
      <c r="B7" s="12" t="s">
        <v>31</v>
      </c>
      <c r="C7" s="5">
        <f>6/12</f>
        <v>0.5</v>
      </c>
      <c r="G7" s="9"/>
      <c r="I7" s="9"/>
    </row>
    <row r="8" spans="2:10" x14ac:dyDescent="0.55000000000000004">
      <c r="B8" s="2" t="s">
        <v>15</v>
      </c>
      <c r="C8" s="11">
        <v>3.5000000000000003E-2</v>
      </c>
      <c r="D8" s="11"/>
      <c r="E8" s="33">
        <f>((1+C8)^C7)-1</f>
        <v>1.734949746879022E-2</v>
      </c>
    </row>
    <row r="9" spans="2:10" x14ac:dyDescent="0.55000000000000004">
      <c r="B9" s="2"/>
      <c r="C9" s="11"/>
      <c r="D9" s="11"/>
    </row>
    <row r="10" spans="2:10" ht="28.8" x14ac:dyDescent="0.55000000000000004">
      <c r="B10" s="13" t="s">
        <v>6</v>
      </c>
      <c r="C10" s="14" t="s">
        <v>17</v>
      </c>
      <c r="D10" s="14" t="s">
        <v>18</v>
      </c>
    </row>
    <row r="11" spans="2:10" x14ac:dyDescent="0.55000000000000004">
      <c r="B11" s="15" t="s">
        <v>0</v>
      </c>
      <c r="C11" s="28">
        <f>(F4-F5)/(D4-D5)</f>
        <v>0.55555555555555558</v>
      </c>
      <c r="D11" s="16">
        <f>C11*D3</f>
        <v>222.22222222222223</v>
      </c>
    </row>
    <row r="12" spans="2:10" x14ac:dyDescent="0.55000000000000004">
      <c r="B12" s="15" t="s">
        <v>5</v>
      </c>
      <c r="C12" s="17"/>
      <c r="D12" s="16">
        <f>-I4/((1+C8)^C7)</f>
        <v>-174.74602210950772</v>
      </c>
    </row>
    <row r="13" spans="2:10" x14ac:dyDescent="0.55000000000000004">
      <c r="B13" s="18" t="s">
        <v>19</v>
      </c>
      <c r="C13" s="17"/>
      <c r="D13" s="19">
        <f>D11+D12</f>
        <v>47.476200112714508</v>
      </c>
    </row>
    <row r="15" spans="2:10" x14ac:dyDescent="0.55000000000000004">
      <c r="B15" s="40" t="s">
        <v>34</v>
      </c>
      <c r="C15" s="40">
        <v>0.5</v>
      </c>
    </row>
    <row r="17" spans="2:13" ht="14.7" x14ac:dyDescent="0.55000000000000004">
      <c r="B17" t="s">
        <v>27</v>
      </c>
      <c r="C17" t="s">
        <v>28</v>
      </c>
      <c r="E17" s="41">
        <v>1.25</v>
      </c>
      <c r="I17" s="30" t="s">
        <v>33</v>
      </c>
      <c r="J17" s="39">
        <f>LN(E17)/SQRT(C15)</f>
        <v>0.31557263662465213</v>
      </c>
      <c r="K17" s="4" t="s">
        <v>32</v>
      </c>
      <c r="L17" s="8">
        <f>EXP(J17*SQRT(C15))</f>
        <v>1.25</v>
      </c>
    </row>
    <row r="19" spans="2:13" x14ac:dyDescent="0.55000000000000004">
      <c r="B19" t="s">
        <v>29</v>
      </c>
      <c r="C19" t="s">
        <v>30</v>
      </c>
      <c r="E19">
        <v>0.8</v>
      </c>
    </row>
    <row r="20" spans="2:13" x14ac:dyDescent="0.55000000000000004">
      <c r="K20" s="4" t="s">
        <v>30</v>
      </c>
      <c r="L20" s="8">
        <f>1/L17</f>
        <v>0.8</v>
      </c>
    </row>
    <row r="22" spans="2:13" ht="16.8" x14ac:dyDescent="0.75">
      <c r="B22" s="40" t="s">
        <v>34</v>
      </c>
      <c r="C22" s="40">
        <v>0.25</v>
      </c>
      <c r="D22" s="4" t="s">
        <v>42</v>
      </c>
      <c r="E22" s="34">
        <f>((1+C8)^C22)-1</f>
        <v>8.6374459977134332E-3</v>
      </c>
    </row>
    <row r="24" spans="2:13" ht="14.7" x14ac:dyDescent="0.55000000000000004">
      <c r="B24" t="s">
        <v>27</v>
      </c>
      <c r="C24" t="s">
        <v>28</v>
      </c>
      <c r="I24" s="30"/>
      <c r="J24" s="7"/>
      <c r="K24" s="4" t="s">
        <v>32</v>
      </c>
      <c r="L24" s="42">
        <f>EXP(J17*SQRT(C22))</f>
        <v>1.1709159646743776</v>
      </c>
      <c r="M24" t="s">
        <v>78</v>
      </c>
    </row>
    <row r="26" spans="2:13" x14ac:dyDescent="0.55000000000000004">
      <c r="B26" t="s">
        <v>29</v>
      </c>
      <c r="C26" t="s">
        <v>30</v>
      </c>
    </row>
    <row r="27" spans="2:13" x14ac:dyDescent="0.55000000000000004">
      <c r="K27" s="4" t="s">
        <v>30</v>
      </c>
      <c r="L27" s="42">
        <f>1/L24</f>
        <v>0.85403225352563372</v>
      </c>
      <c r="M27" t="s">
        <v>79</v>
      </c>
    </row>
    <row r="28" spans="2:13" x14ac:dyDescent="0.55000000000000004">
      <c r="G28" s="38"/>
      <c r="K28" s="4" t="s">
        <v>40</v>
      </c>
      <c r="L28" s="6">
        <f>EXP(C8*C22)</f>
        <v>1.0087883931483161</v>
      </c>
      <c r="M28">
        <f>1/L28</f>
        <v>0.99128816984016976</v>
      </c>
    </row>
    <row r="29" spans="2:13" x14ac:dyDescent="0.55000000000000004">
      <c r="G29" s="31" t="s">
        <v>43</v>
      </c>
      <c r="I29" s="31" t="s">
        <v>44</v>
      </c>
      <c r="K29" s="4"/>
      <c r="L29" s="8"/>
      <c r="M29">
        <f>EXP(-C8*C22)</f>
        <v>0.99128816984016976</v>
      </c>
    </row>
    <row r="30" spans="2:13" ht="28.8" x14ac:dyDescent="0.55000000000000004">
      <c r="K30" s="4"/>
      <c r="L30" s="37" t="s">
        <v>46</v>
      </c>
      <c r="M30" s="43" t="s">
        <v>45</v>
      </c>
    </row>
    <row r="31" spans="2:13" x14ac:dyDescent="0.55000000000000004">
      <c r="C31" t="s">
        <v>39</v>
      </c>
      <c r="K31" s="4" t="s">
        <v>39</v>
      </c>
      <c r="L31">
        <f>(L28-L27)/(L24-L27)</f>
        <v>0.48836886901403564</v>
      </c>
      <c r="M31">
        <f>(E22-(L27-1))/((L24-1)-(L27-1))</f>
        <v>0.4878925202927476</v>
      </c>
    </row>
    <row r="32" spans="2:13" x14ac:dyDescent="0.55000000000000004">
      <c r="B32" s="36" t="s">
        <v>35</v>
      </c>
    </row>
    <row r="33" spans="2:5" x14ac:dyDescent="0.55000000000000004">
      <c r="B33" s="1" t="s">
        <v>36</v>
      </c>
      <c r="C33" s="35">
        <v>0</v>
      </c>
      <c r="D33" s="35">
        <v>1</v>
      </c>
      <c r="E33" s="35">
        <v>2</v>
      </c>
    </row>
    <row r="34" spans="2:5" x14ac:dyDescent="0.55000000000000004">
      <c r="B34" s="1" t="s">
        <v>37</v>
      </c>
      <c r="C34" s="9">
        <f>D3</f>
        <v>400</v>
      </c>
      <c r="D34" s="9">
        <f>C34*$L$24</f>
        <v>468.36638586975107</v>
      </c>
      <c r="E34" s="9">
        <f>D34*$L$24</f>
        <v>548.41767853173133</v>
      </c>
    </row>
    <row r="35" spans="2:5" x14ac:dyDescent="0.55000000000000004">
      <c r="D35" s="9">
        <f>C34*$L$27</f>
        <v>341.61290141025347</v>
      </c>
      <c r="E35" s="9">
        <f>D35*$L$24</f>
        <v>400</v>
      </c>
    </row>
    <row r="36" spans="2:5" x14ac:dyDescent="0.55000000000000004">
      <c r="E36" s="9">
        <f>D35*$L$27</f>
        <v>291.74843602482889</v>
      </c>
    </row>
    <row r="41" spans="2:5" x14ac:dyDescent="0.55000000000000004">
      <c r="B41" s="1" t="s">
        <v>38</v>
      </c>
      <c r="C41" s="8">
        <f>(($L$31*D41)+((1-$L$31)*D42))*$M$28</f>
        <v>34.784152396079229</v>
      </c>
      <c r="D41" s="8">
        <f>(($L$31*E41)+((1-$L$31)*E42))*$M$28</f>
        <v>71.851117933683113</v>
      </c>
      <c r="E41" s="9">
        <f>(MAX(E34-$E$3,0))</f>
        <v>148.41767853173133</v>
      </c>
    </row>
    <row r="42" spans="2:5" x14ac:dyDescent="0.55000000000000004">
      <c r="D42" s="8">
        <f>(($L$31*E42)+((1-$L$31)*E43))*$M$28</f>
        <v>0</v>
      </c>
      <c r="E42" s="9">
        <f t="shared" ref="E42:E43" si="0">(MAX(E35-$E$3,0))</f>
        <v>0</v>
      </c>
    </row>
    <row r="43" spans="2:5" x14ac:dyDescent="0.55000000000000004">
      <c r="E43" s="9">
        <f t="shared" si="0"/>
        <v>0</v>
      </c>
    </row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1" sqref="C11"/>
    </sheetView>
  </sheetViews>
  <sheetFormatPr defaultRowHeight="14.4" x14ac:dyDescent="0.55000000000000004"/>
  <cols>
    <col min="1" max="1" width="25.1015625" customWidth="1"/>
    <col min="2" max="2" width="12.1015625" bestFit="1" customWidth="1"/>
    <col min="3" max="3" width="11.68359375" bestFit="1" customWidth="1"/>
    <col min="6" max="6" width="12.3125" customWidth="1"/>
    <col min="7" max="7" width="10.89453125" customWidth="1"/>
    <col min="8" max="8" width="15.1015625" customWidth="1"/>
    <col min="9" max="9" width="10.5234375" customWidth="1"/>
  </cols>
  <sheetData>
    <row r="1" spans="1:9" ht="72" x14ac:dyDescent="0.55000000000000004">
      <c r="A1" s="17"/>
      <c r="B1" s="17"/>
      <c r="C1" s="20" t="s">
        <v>2</v>
      </c>
      <c r="D1" s="14" t="s">
        <v>1</v>
      </c>
      <c r="E1" s="20" t="s">
        <v>26</v>
      </c>
      <c r="F1" s="14" t="s">
        <v>7</v>
      </c>
      <c r="G1" s="14" t="s">
        <v>8</v>
      </c>
      <c r="H1" s="14" t="s">
        <v>14</v>
      </c>
      <c r="I1" s="14" t="s">
        <v>21</v>
      </c>
    </row>
    <row r="2" spans="1:9" x14ac:dyDescent="0.55000000000000004">
      <c r="A2" s="17"/>
      <c r="B2" s="17"/>
      <c r="C2" s="21" t="s">
        <v>9</v>
      </c>
      <c r="D2" s="21" t="s">
        <v>10</v>
      </c>
      <c r="E2" s="21" t="s">
        <v>11</v>
      </c>
      <c r="F2" s="21" t="s">
        <v>12</v>
      </c>
      <c r="G2" s="21" t="s">
        <v>13</v>
      </c>
      <c r="H2" s="21" t="s">
        <v>20</v>
      </c>
      <c r="I2" s="21" t="s">
        <v>25</v>
      </c>
    </row>
    <row r="3" spans="1:9" x14ac:dyDescent="0.55000000000000004">
      <c r="A3" s="17" t="s">
        <v>3</v>
      </c>
      <c r="B3" s="17"/>
      <c r="C3" s="17">
        <v>400</v>
      </c>
      <c r="D3" s="17">
        <v>400</v>
      </c>
      <c r="E3" s="17"/>
      <c r="F3" s="17"/>
      <c r="G3" s="17"/>
      <c r="H3" s="17"/>
      <c r="I3" s="17"/>
    </row>
    <row r="4" spans="1:9" x14ac:dyDescent="0.55000000000000004">
      <c r="A4" s="44" t="s">
        <v>22</v>
      </c>
      <c r="B4" s="22" t="s">
        <v>24</v>
      </c>
      <c r="C4" s="17">
        <v>500</v>
      </c>
      <c r="D4" s="17">
        <f>D3</f>
        <v>400</v>
      </c>
      <c r="E4" s="17">
        <f>MAX(D4-C4,0)</f>
        <v>0</v>
      </c>
      <c r="F4" s="23">
        <f>$B$11*C4</f>
        <v>-222.2222222222222</v>
      </c>
      <c r="G4" s="17">
        <f>E4</f>
        <v>0</v>
      </c>
      <c r="H4" s="23">
        <f>F4-G4</f>
        <v>-222.2222222222222</v>
      </c>
      <c r="I4" s="17">
        <f>(C4*$B$11)+($C$12*(1+$B$8)^$B$7)</f>
        <v>0</v>
      </c>
    </row>
    <row r="5" spans="1:9" x14ac:dyDescent="0.55000000000000004">
      <c r="A5" s="44"/>
      <c r="B5" s="22" t="s">
        <v>23</v>
      </c>
      <c r="C5" s="17">
        <v>320</v>
      </c>
      <c r="D5" s="17">
        <f>D3</f>
        <v>400</v>
      </c>
      <c r="E5" s="17">
        <f>MAX(D5-C5,0)</f>
        <v>80</v>
      </c>
      <c r="F5" s="23">
        <f>$B$11*C5</f>
        <v>-142.22222222222223</v>
      </c>
      <c r="G5" s="17">
        <f>E5</f>
        <v>80</v>
      </c>
      <c r="H5" s="23">
        <f>F5-G5</f>
        <v>-222.22222222222223</v>
      </c>
      <c r="I5" s="17">
        <f>(C5*$B$11)+($C$12*(1+$B$8)^$B$7)</f>
        <v>79.999999999999972</v>
      </c>
    </row>
    <row r="6" spans="1:9" x14ac:dyDescent="0.55000000000000004">
      <c r="A6" s="24"/>
      <c r="B6" s="25"/>
      <c r="C6" s="26"/>
      <c r="D6" s="26"/>
      <c r="E6" s="26"/>
      <c r="F6" s="27"/>
      <c r="G6" s="26"/>
      <c r="H6" s="27"/>
      <c r="I6" s="26"/>
    </row>
    <row r="7" spans="1:9" x14ac:dyDescent="0.55000000000000004">
      <c r="A7" s="12" t="s">
        <v>16</v>
      </c>
      <c r="B7" s="5">
        <f>6/12</f>
        <v>0.5</v>
      </c>
      <c r="F7" s="9"/>
      <c r="H7" s="9"/>
    </row>
    <row r="8" spans="1:9" x14ac:dyDescent="0.55000000000000004">
      <c r="A8" s="2" t="s">
        <v>15</v>
      </c>
      <c r="B8" s="11">
        <v>3.5000000000000003E-2</v>
      </c>
      <c r="C8" s="11"/>
    </row>
    <row r="9" spans="1:9" x14ac:dyDescent="0.55000000000000004">
      <c r="A9" s="2"/>
      <c r="B9" s="11"/>
      <c r="C9" s="11"/>
    </row>
    <row r="10" spans="1:9" ht="28.8" x14ac:dyDescent="0.55000000000000004">
      <c r="A10" s="13" t="s">
        <v>6</v>
      </c>
      <c r="B10" s="14" t="s">
        <v>17</v>
      </c>
      <c r="C10" s="14" t="s">
        <v>18</v>
      </c>
    </row>
    <row r="11" spans="1:9" x14ac:dyDescent="0.55000000000000004">
      <c r="A11" s="15" t="s">
        <v>0</v>
      </c>
      <c r="B11" s="28">
        <f>(E4-E5)/(C4-C5)</f>
        <v>-0.44444444444444442</v>
      </c>
      <c r="C11" s="16">
        <f>B11*C3</f>
        <v>-177.77777777777777</v>
      </c>
    </row>
    <row r="12" spans="1:9" x14ac:dyDescent="0.55000000000000004">
      <c r="A12" s="15" t="s">
        <v>5</v>
      </c>
      <c r="B12" s="17"/>
      <c r="C12" s="16">
        <f>-H4/((1+B8)^B7)</f>
        <v>218.43252763688463</v>
      </c>
    </row>
    <row r="13" spans="1:9" x14ac:dyDescent="0.55000000000000004">
      <c r="A13" s="18" t="s">
        <v>19</v>
      </c>
      <c r="B13" s="17"/>
      <c r="C13" s="19">
        <f>C11+C12</f>
        <v>40.654749859106857</v>
      </c>
    </row>
  </sheetData>
  <mergeCells count="1"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opLeftCell="A10" workbookViewId="0">
      <selection activeCell="D19" sqref="D19"/>
    </sheetView>
  </sheetViews>
  <sheetFormatPr defaultRowHeight="14.4" x14ac:dyDescent="0.55000000000000004"/>
  <cols>
    <col min="2" max="2" width="14.41796875" customWidth="1"/>
  </cols>
  <sheetData>
    <row r="1" spans="2:4" x14ac:dyDescent="0.55000000000000004">
      <c r="B1" s="1" t="s">
        <v>53</v>
      </c>
    </row>
    <row r="3" spans="2:4" x14ac:dyDescent="0.55000000000000004">
      <c r="B3" t="s">
        <v>47</v>
      </c>
      <c r="C3">
        <v>36</v>
      </c>
    </row>
    <row r="4" spans="2:4" ht="14.7" x14ac:dyDescent="0.55000000000000004">
      <c r="B4" s="29" t="s">
        <v>33</v>
      </c>
      <c r="C4">
        <v>0.4</v>
      </c>
    </row>
    <row r="5" spans="2:4" x14ac:dyDescent="0.55000000000000004">
      <c r="B5" t="s">
        <v>48</v>
      </c>
      <c r="C5">
        <v>40</v>
      </c>
    </row>
    <row r="6" spans="2:4" x14ac:dyDescent="0.55000000000000004">
      <c r="B6" t="s">
        <v>49</v>
      </c>
      <c r="C6" t="s">
        <v>50</v>
      </c>
    </row>
    <row r="7" spans="2:4" ht="14.7" x14ac:dyDescent="0.55000000000000004">
      <c r="B7" t="s">
        <v>51</v>
      </c>
      <c r="C7" t="s">
        <v>52</v>
      </c>
      <c r="D7">
        <f>30/365</f>
        <v>8.2191780821917804E-2</v>
      </c>
    </row>
    <row r="8" spans="2:4" x14ac:dyDescent="0.55000000000000004">
      <c r="B8" t="s">
        <v>41</v>
      </c>
      <c r="C8" s="10">
        <v>0.1</v>
      </c>
    </row>
    <row r="10" spans="2:4" x14ac:dyDescent="0.55000000000000004">
      <c r="B10" t="s">
        <v>40</v>
      </c>
      <c r="C10">
        <f>EXP(C8*D7)</f>
        <v>1.0082530482577738</v>
      </c>
    </row>
    <row r="11" spans="2:4" x14ac:dyDescent="0.55000000000000004">
      <c r="B11" t="s">
        <v>28</v>
      </c>
      <c r="C11">
        <f>EXP(C4*SQRT(D7))</f>
        <v>1.1215104982290351</v>
      </c>
    </row>
    <row r="12" spans="2:4" x14ac:dyDescent="0.55000000000000004">
      <c r="B12" t="s">
        <v>54</v>
      </c>
      <c r="C12">
        <f>1/C11</f>
        <v>0.89165460473093117</v>
      </c>
    </row>
    <row r="13" spans="2:4" ht="16.8" x14ac:dyDescent="0.75">
      <c r="B13" t="s">
        <v>55</v>
      </c>
      <c r="C13">
        <f>(C10-C12)/(C11-C12)</f>
        <v>0.5072675829728267</v>
      </c>
    </row>
    <row r="14" spans="2:4" ht="16.8" x14ac:dyDescent="0.75">
      <c r="B14" t="s">
        <v>56</v>
      </c>
      <c r="C14">
        <f>1-C13</f>
        <v>0.4927324170271733</v>
      </c>
    </row>
    <row r="17" spans="2:6" x14ac:dyDescent="0.55000000000000004">
      <c r="B17" s="1" t="s">
        <v>35</v>
      </c>
    </row>
    <row r="18" spans="2:6" x14ac:dyDescent="0.55000000000000004">
      <c r="B18" s="1" t="s">
        <v>36</v>
      </c>
      <c r="C18">
        <v>0</v>
      </c>
      <c r="D18">
        <v>1</v>
      </c>
      <c r="E18">
        <v>2</v>
      </c>
      <c r="F18">
        <v>3</v>
      </c>
    </row>
    <row r="19" spans="2:6" x14ac:dyDescent="0.55000000000000004">
      <c r="B19" s="1" t="s">
        <v>37</v>
      </c>
      <c r="C19" s="9">
        <f>C3</f>
        <v>36</v>
      </c>
      <c r="D19" s="9">
        <f>C19*$C$11</f>
        <v>40.374377936245267</v>
      </c>
      <c r="E19" s="9">
        <f>D19*$C$11</f>
        <v>45.280288714965792</v>
      </c>
      <c r="F19" s="9">
        <f>E19*$C$11</f>
        <v>50.78231915667584</v>
      </c>
    </row>
    <row r="20" spans="2:6" x14ac:dyDescent="0.55000000000000004">
      <c r="D20" s="9">
        <f>C19*$C$12</f>
        <v>32.099565770313525</v>
      </c>
      <c r="E20" s="9">
        <f>D20*$C$11</f>
        <v>36.000000000000007</v>
      </c>
      <c r="F20" s="9">
        <f>E20*$C$11</f>
        <v>40.374377936245274</v>
      </c>
    </row>
    <row r="21" spans="2:6" x14ac:dyDescent="0.55000000000000004">
      <c r="E21" s="9">
        <f>D20*$C$12</f>
        <v>28.621725628963436</v>
      </c>
      <c r="F21" s="9">
        <f>E20*$C$12</f>
        <v>32.099565770313525</v>
      </c>
    </row>
    <row r="22" spans="2:6" x14ac:dyDescent="0.55000000000000004">
      <c r="F22" s="9">
        <f>E21*$C$12</f>
        <v>25.520693452410555</v>
      </c>
    </row>
    <row r="26" spans="2:6" x14ac:dyDescent="0.55000000000000004">
      <c r="B26" s="1" t="s">
        <v>38</v>
      </c>
      <c r="C26" s="8">
        <f>(($C$13*D26)+(($C$14)*D27))/$C$10</f>
        <v>1.5120740948013713</v>
      </c>
      <c r="D26" s="8">
        <f>(($C$13*E26)+(($C$14)*E27))/$C$10</f>
        <v>2.9133732487079147</v>
      </c>
      <c r="E26" s="8">
        <f>(($C$13*F26)+(($C$14)*F27))/$C$10</f>
        <v>5.6077084345306325</v>
      </c>
      <c r="F26" s="9">
        <f>(MAX(F19-$C$5,0))</f>
        <v>10.78231915667584</v>
      </c>
    </row>
    <row r="27" spans="2:6" x14ac:dyDescent="0.55000000000000004">
      <c r="D27" s="8">
        <f>(($C$13*E27)+(($C$14)*E28))/$C$10</f>
        <v>9.4764434999140432E-2</v>
      </c>
      <c r="E27" s="8">
        <f>(($C$13*F27)+(($C$14)*F28))/$C$10</f>
        <v>0.18835528557602949</v>
      </c>
      <c r="F27" s="9">
        <f t="shared" ref="F27:F28" si="0">(MAX(F20-$C$5,0))</f>
        <v>0.37437793624527416</v>
      </c>
    </row>
    <row r="28" spans="2:6" x14ac:dyDescent="0.55000000000000004">
      <c r="E28" s="8">
        <f>(($C$13*F28)+(($C$14)*F29))/$C$10</f>
        <v>0</v>
      </c>
      <c r="F28" s="9">
        <f t="shared" si="0"/>
        <v>0</v>
      </c>
    </row>
    <row r="29" spans="2:6" x14ac:dyDescent="0.55000000000000004">
      <c r="F29" s="9">
        <f t="shared" ref="F29" si="1">(MAX(F22-$C$5,0))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C26" sqref="C26"/>
    </sheetView>
  </sheetViews>
  <sheetFormatPr defaultRowHeight="14.4" x14ac:dyDescent="0.55000000000000004"/>
  <cols>
    <col min="1" max="1" width="34.68359375" bestFit="1" customWidth="1"/>
  </cols>
  <sheetData>
    <row r="1" spans="1:6" x14ac:dyDescent="0.55000000000000004">
      <c r="A1" s="2" t="s">
        <v>76</v>
      </c>
    </row>
    <row r="3" spans="1:6" x14ac:dyDescent="0.55000000000000004">
      <c r="A3" t="s">
        <v>57</v>
      </c>
      <c r="B3">
        <v>400</v>
      </c>
    </row>
    <row r="4" spans="1:6" x14ac:dyDescent="0.55000000000000004">
      <c r="A4" t="s">
        <v>58</v>
      </c>
      <c r="B4">
        <v>400</v>
      </c>
    </row>
    <row r="5" spans="1:6" ht="29.1" x14ac:dyDescent="0.55000000000000004">
      <c r="A5" s="3" t="s">
        <v>59</v>
      </c>
      <c r="B5">
        <v>0.31559999999999999</v>
      </c>
    </row>
    <row r="6" spans="1:6" x14ac:dyDescent="0.55000000000000004">
      <c r="A6" t="s">
        <v>60</v>
      </c>
      <c r="B6">
        <v>0.5</v>
      </c>
    </row>
    <row r="7" spans="1:6" x14ac:dyDescent="0.55000000000000004">
      <c r="A7" t="s">
        <v>61</v>
      </c>
      <c r="B7" s="11">
        <v>3.5000000000000003E-2</v>
      </c>
      <c r="C7" t="s">
        <v>62</v>
      </c>
      <c r="D7">
        <f>((1+B7)^B6)-1</f>
        <v>1.734949746879022E-2</v>
      </c>
      <c r="E7" t="s">
        <v>63</v>
      </c>
    </row>
    <row r="8" spans="1:6" x14ac:dyDescent="0.55000000000000004">
      <c r="A8" t="s">
        <v>64</v>
      </c>
      <c r="B8" s="9">
        <f>B4/((1+B7)^B6)</f>
        <v>393.17854974639238</v>
      </c>
    </row>
    <row r="11" spans="1:6" x14ac:dyDescent="0.55000000000000004">
      <c r="A11" s="2" t="s">
        <v>66</v>
      </c>
    </row>
    <row r="13" spans="1:6" ht="16.8" x14ac:dyDescent="0.75">
      <c r="A13" s="32" t="s">
        <v>72</v>
      </c>
      <c r="B13" s="45">
        <f>(LN(B3/B8))/(B5*SQRT(B6))+((B5*SQRT(B6))/2)</f>
        <v>0.18865838959695902</v>
      </c>
      <c r="F13" t="s">
        <v>65</v>
      </c>
    </row>
    <row r="18" spans="1:3" ht="16.8" x14ac:dyDescent="0.75">
      <c r="A18" s="32" t="s">
        <v>73</v>
      </c>
      <c r="B18">
        <f>B13-(B5*SQRT(B6))</f>
        <v>-3.4504510545515399E-2</v>
      </c>
    </row>
    <row r="21" spans="1:3" ht="16.8" x14ac:dyDescent="0.75">
      <c r="A21" s="2" t="s">
        <v>67</v>
      </c>
    </row>
    <row r="23" spans="1:3" ht="16.8" x14ac:dyDescent="0.75">
      <c r="A23" t="s">
        <v>68</v>
      </c>
      <c r="B23" s="7">
        <f>_xlfn.NORM.S.DIST(B13,TRUE)</f>
        <v>0.5748197169241227</v>
      </c>
      <c r="C23" t="s">
        <v>81</v>
      </c>
    </row>
    <row r="26" spans="1:3" ht="16.8" x14ac:dyDescent="0.75">
      <c r="A26" t="s">
        <v>69</v>
      </c>
      <c r="B26" s="7">
        <f>_xlfn.NORM.S.DIST(B18,TRUE)</f>
        <v>0.4862374227981891</v>
      </c>
      <c r="C26" t="s">
        <v>80</v>
      </c>
    </row>
    <row r="28" spans="1:3" x14ac:dyDescent="0.55000000000000004">
      <c r="A28" s="2" t="s">
        <v>70</v>
      </c>
    </row>
    <row r="32" spans="1:3" ht="16.8" x14ac:dyDescent="0.75">
      <c r="A32" t="s">
        <v>74</v>
      </c>
      <c r="B32" s="9">
        <f>B23*B3</f>
        <v>229.92788676964909</v>
      </c>
    </row>
    <row r="34" spans="1:2" ht="16.8" x14ac:dyDescent="0.75">
      <c r="A34" t="s">
        <v>75</v>
      </c>
      <c r="B34" s="9">
        <f>B26*B8</f>
        <v>191.17812472821541</v>
      </c>
    </row>
    <row r="36" spans="1:2" x14ac:dyDescent="0.55000000000000004">
      <c r="A36" t="s">
        <v>71</v>
      </c>
      <c r="B36" s="46">
        <f>B32-B34</f>
        <v>38.749762041433684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2</xdr:col>
                <xdr:colOff>30480</xdr:colOff>
                <xdr:row>8</xdr:row>
                <xdr:rowOff>22860</xdr:rowOff>
              </from>
              <to>
                <xdr:col>7</xdr:col>
                <xdr:colOff>99060</xdr:colOff>
                <xdr:row>9</xdr:row>
                <xdr:rowOff>167640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2</xdr:col>
                <xdr:colOff>15240</xdr:colOff>
                <xdr:row>11</xdr:row>
                <xdr:rowOff>15240</xdr:rowOff>
              </from>
              <to>
                <xdr:col>4</xdr:col>
                <xdr:colOff>533400</xdr:colOff>
                <xdr:row>14</xdr:row>
                <xdr:rowOff>30480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>
              <from>
                <xdr:col>2</xdr:col>
                <xdr:colOff>19050</xdr:colOff>
                <xdr:row>16</xdr:row>
                <xdr:rowOff>68580</xdr:rowOff>
              </from>
              <to>
                <xdr:col>4</xdr:col>
                <xdr:colOff>163830</xdr:colOff>
                <xdr:row>18</xdr:row>
                <xdr:rowOff>87630</xdr:rowOff>
              </to>
            </anchor>
          </objectPr>
        </oleObject>
      </mc:Choice>
      <mc:Fallback>
        <oleObject progId="Equation.3" shapeId="4099" r:id="rId8"/>
      </mc:Fallback>
    </mc:AlternateContent>
    <mc:AlternateContent xmlns:mc="http://schemas.openxmlformats.org/markup-compatibility/2006">
      <mc:Choice Requires="x14">
        <oleObject progId="Equation.3" shapeId="4100" r:id="rId10">
          <objectPr defaultSize="0" autoPict="0" r:id="rId5">
            <anchor moveWithCells="1">
              <from>
                <xdr:col>1</xdr:col>
                <xdr:colOff>617220</xdr:colOff>
                <xdr:row>28</xdr:row>
                <xdr:rowOff>7620</xdr:rowOff>
              </from>
              <to>
                <xdr:col>7</xdr:col>
                <xdr:colOff>45720</xdr:colOff>
                <xdr:row>29</xdr:row>
                <xdr:rowOff>152400</xdr:rowOff>
              </to>
            </anchor>
          </objectPr>
        </oleObject>
      </mc:Choice>
      <mc:Fallback>
        <oleObject progId="Equation.3" shapeId="4100" r:id="rId10"/>
      </mc:Fallback>
    </mc:AlternateContent>
    <mc:AlternateContent xmlns:mc="http://schemas.openxmlformats.org/markup-compatibility/2006">
      <mc:Choice Requires="x14">
        <oleObject progId="Equation.3" shapeId="4101" r:id="rId11">
          <objectPr defaultSize="0" r:id="rId12">
            <anchor moveWithCells="1">
              <from>
                <xdr:col>2</xdr:col>
                <xdr:colOff>0</xdr:colOff>
                <xdr:row>31</xdr:row>
                <xdr:rowOff>0</xdr:rowOff>
              </from>
              <to>
                <xdr:col>3</xdr:col>
                <xdr:colOff>182880</xdr:colOff>
                <xdr:row>32</xdr:row>
                <xdr:rowOff>38100</xdr:rowOff>
              </to>
            </anchor>
          </objectPr>
        </oleObject>
      </mc:Choice>
      <mc:Fallback>
        <oleObject progId="Equation.3" shapeId="4101" r:id="rId11"/>
      </mc:Fallback>
    </mc:AlternateContent>
    <mc:AlternateContent xmlns:mc="http://schemas.openxmlformats.org/markup-compatibility/2006">
      <mc:Choice Requires="x14">
        <oleObject progId="Equation.3" shapeId="4102" r:id="rId13">
          <objectPr defaultSize="0" r:id="rId14">
            <anchor moveWithCells="1">
              <from>
                <xdr:col>2</xdr:col>
                <xdr:colOff>0</xdr:colOff>
                <xdr:row>33</xdr:row>
                <xdr:rowOff>0</xdr:rowOff>
              </from>
              <to>
                <xdr:col>4</xdr:col>
                <xdr:colOff>45720</xdr:colOff>
                <xdr:row>34</xdr:row>
                <xdr:rowOff>38100</xdr:rowOff>
              </to>
            </anchor>
          </objectPr>
        </oleObject>
      </mc:Choice>
      <mc:Fallback>
        <oleObject progId="Equation.3" shapeId="4102" r:id="rId1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topLeftCell="A19" workbookViewId="0">
      <selection activeCell="G20" sqref="G20"/>
    </sheetView>
  </sheetViews>
  <sheetFormatPr defaultRowHeight="14.4" x14ac:dyDescent="0.55000000000000004"/>
  <cols>
    <col min="1" max="1" width="34.68359375" bestFit="1" customWidth="1"/>
  </cols>
  <sheetData>
    <row r="1" spans="1:6" x14ac:dyDescent="0.55000000000000004">
      <c r="A1" s="2" t="s">
        <v>77</v>
      </c>
    </row>
    <row r="3" spans="1:6" x14ac:dyDescent="0.55000000000000004">
      <c r="A3" t="s">
        <v>57</v>
      </c>
      <c r="B3">
        <v>36</v>
      </c>
    </row>
    <row r="4" spans="1:6" x14ac:dyDescent="0.55000000000000004">
      <c r="A4" t="s">
        <v>58</v>
      </c>
      <c r="B4">
        <v>40</v>
      </c>
    </row>
    <row r="5" spans="1:6" ht="29.1" x14ac:dyDescent="0.55000000000000004">
      <c r="A5" s="3" t="s">
        <v>59</v>
      </c>
      <c r="B5">
        <v>0.4</v>
      </c>
    </row>
    <row r="6" spans="1:6" x14ac:dyDescent="0.55000000000000004">
      <c r="A6" t="s">
        <v>60</v>
      </c>
      <c r="B6" s="8">
        <f>90/365</f>
        <v>0.24657534246575341</v>
      </c>
    </row>
    <row r="7" spans="1:6" x14ac:dyDescent="0.55000000000000004">
      <c r="A7" t="s">
        <v>61</v>
      </c>
      <c r="B7" s="11">
        <v>0.1</v>
      </c>
      <c r="C7" t="s">
        <v>62</v>
      </c>
      <c r="D7" s="6"/>
      <c r="E7" t="s">
        <v>63</v>
      </c>
    </row>
    <row r="8" spans="1:6" x14ac:dyDescent="0.55000000000000004">
      <c r="A8" t="s">
        <v>64</v>
      </c>
      <c r="B8" s="9">
        <f>B4/((1+B7)^B6)</f>
        <v>39.070914437066655</v>
      </c>
    </row>
    <row r="11" spans="1:6" x14ac:dyDescent="0.55000000000000004">
      <c r="A11" s="2" t="s">
        <v>66</v>
      </c>
    </row>
    <row r="13" spans="1:6" ht="16.8" x14ac:dyDescent="0.75">
      <c r="A13" s="32" t="s">
        <v>72</v>
      </c>
      <c r="B13" s="45">
        <f>(LN(B3/B8))/(B5*SQRT(B6))+((B5*SQRT(B6))/2)</f>
        <v>-0.31281670866597888</v>
      </c>
      <c r="F13" t="s">
        <v>65</v>
      </c>
    </row>
    <row r="18" spans="1:3" ht="16.8" x14ac:dyDescent="0.75">
      <c r="A18" s="32" t="s">
        <v>73</v>
      </c>
      <c r="B18" s="7">
        <f>B13-(B5*SQRT(B6))</f>
        <v>-0.51144212193054717</v>
      </c>
    </row>
    <row r="21" spans="1:3" ht="16.8" x14ac:dyDescent="0.75">
      <c r="A21" s="2" t="s">
        <v>67</v>
      </c>
    </row>
    <row r="23" spans="1:3" ht="16.8" x14ac:dyDescent="0.75">
      <c r="A23" t="s">
        <v>68</v>
      </c>
      <c r="B23" s="7">
        <f>_xlfn.NORM.S.DIST(B13,TRUE)</f>
        <v>0.37720996017068908</v>
      </c>
      <c r="C23" t="s">
        <v>82</v>
      </c>
    </row>
    <row r="26" spans="1:3" ht="16.8" x14ac:dyDescent="0.75">
      <c r="A26" t="s">
        <v>69</v>
      </c>
      <c r="B26" s="7">
        <f>_xlfn.NORM.S.DIST(B18,TRUE)</f>
        <v>0.30452075319619454</v>
      </c>
      <c r="C26" t="s">
        <v>83</v>
      </c>
    </row>
    <row r="28" spans="1:3" x14ac:dyDescent="0.55000000000000004">
      <c r="A28" s="2" t="s">
        <v>70</v>
      </c>
    </row>
    <row r="32" spans="1:3" ht="16.8" x14ac:dyDescent="0.75">
      <c r="A32" t="s">
        <v>74</v>
      </c>
      <c r="B32" s="9">
        <f>B23*B3</f>
        <v>13.579558566144808</v>
      </c>
    </row>
    <row r="34" spans="1:2" ht="16.8" x14ac:dyDescent="0.75">
      <c r="A34" t="s">
        <v>75</v>
      </c>
      <c r="B34" s="9">
        <f>B26*B8</f>
        <v>11.897904292439609</v>
      </c>
    </row>
    <row r="36" spans="1:2" x14ac:dyDescent="0.55000000000000004">
      <c r="A36" t="s">
        <v>71</v>
      </c>
      <c r="B36" s="46">
        <f>B32-B34</f>
        <v>1.6816542737051989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7181" r:id="rId4">
          <objectPr defaultSize="0" autoPict="0" r:id="rId5">
            <anchor moveWithCells="1">
              <from>
                <xdr:col>2</xdr:col>
                <xdr:colOff>30480</xdr:colOff>
                <xdr:row>7</xdr:row>
                <xdr:rowOff>175260</xdr:rowOff>
              </from>
              <to>
                <xdr:col>7</xdr:col>
                <xdr:colOff>99060</xdr:colOff>
                <xdr:row>9</xdr:row>
                <xdr:rowOff>137160</xdr:rowOff>
              </to>
            </anchor>
          </objectPr>
        </oleObject>
      </mc:Choice>
      <mc:Fallback>
        <oleObject progId="Equation.3" shapeId="7181" r:id="rId4"/>
      </mc:Fallback>
    </mc:AlternateContent>
    <mc:AlternateContent xmlns:mc="http://schemas.openxmlformats.org/markup-compatibility/2006">
      <mc:Choice Requires="x14">
        <oleObject progId="Equation.3" shapeId="7182" r:id="rId6">
          <objectPr defaultSize="0" autoPict="0" r:id="rId7">
            <anchor moveWithCells="1">
              <from>
                <xdr:col>2</xdr:col>
                <xdr:colOff>15240</xdr:colOff>
                <xdr:row>11</xdr:row>
                <xdr:rowOff>15240</xdr:rowOff>
              </from>
              <to>
                <xdr:col>4</xdr:col>
                <xdr:colOff>533400</xdr:colOff>
                <xdr:row>14</xdr:row>
                <xdr:rowOff>30480</xdr:rowOff>
              </to>
            </anchor>
          </objectPr>
        </oleObject>
      </mc:Choice>
      <mc:Fallback>
        <oleObject progId="Equation.3" shapeId="7182" r:id="rId6"/>
      </mc:Fallback>
    </mc:AlternateContent>
    <mc:AlternateContent xmlns:mc="http://schemas.openxmlformats.org/markup-compatibility/2006">
      <mc:Choice Requires="x14">
        <oleObject progId="Equation.3" shapeId="7183" r:id="rId8">
          <objectPr defaultSize="0" autoPict="0" r:id="rId9">
            <anchor moveWithCells="1">
              <from>
                <xdr:col>2</xdr:col>
                <xdr:colOff>0</xdr:colOff>
                <xdr:row>16</xdr:row>
                <xdr:rowOff>110490</xdr:rowOff>
              </from>
              <to>
                <xdr:col>3</xdr:col>
                <xdr:colOff>487680</xdr:colOff>
                <xdr:row>18</xdr:row>
                <xdr:rowOff>41910</xdr:rowOff>
              </to>
            </anchor>
          </objectPr>
        </oleObject>
      </mc:Choice>
      <mc:Fallback>
        <oleObject progId="Equation.3" shapeId="7183" r:id="rId8"/>
      </mc:Fallback>
    </mc:AlternateContent>
    <mc:AlternateContent xmlns:mc="http://schemas.openxmlformats.org/markup-compatibility/2006">
      <mc:Choice Requires="x14">
        <oleObject progId="Equation.3" shapeId="7184" r:id="rId10">
          <objectPr defaultSize="0" autoPict="0" r:id="rId5">
            <anchor moveWithCells="1">
              <from>
                <xdr:col>1</xdr:col>
                <xdr:colOff>617220</xdr:colOff>
                <xdr:row>28</xdr:row>
                <xdr:rowOff>7620</xdr:rowOff>
              </from>
              <to>
                <xdr:col>7</xdr:col>
                <xdr:colOff>45720</xdr:colOff>
                <xdr:row>29</xdr:row>
                <xdr:rowOff>152400</xdr:rowOff>
              </to>
            </anchor>
          </objectPr>
        </oleObject>
      </mc:Choice>
      <mc:Fallback>
        <oleObject progId="Equation.3" shapeId="7184" r:id="rId10"/>
      </mc:Fallback>
    </mc:AlternateContent>
    <mc:AlternateContent xmlns:mc="http://schemas.openxmlformats.org/markup-compatibility/2006">
      <mc:Choice Requires="x14">
        <oleObject progId="Equation.3" shapeId="7185" r:id="rId11">
          <objectPr defaultSize="0" r:id="rId12">
            <anchor moveWithCells="1">
              <from>
                <xdr:col>2</xdr:col>
                <xdr:colOff>0</xdr:colOff>
                <xdr:row>31</xdr:row>
                <xdr:rowOff>0</xdr:rowOff>
              </from>
              <to>
                <xdr:col>3</xdr:col>
                <xdr:colOff>182880</xdr:colOff>
                <xdr:row>32</xdr:row>
                <xdr:rowOff>38100</xdr:rowOff>
              </to>
            </anchor>
          </objectPr>
        </oleObject>
      </mc:Choice>
      <mc:Fallback>
        <oleObject progId="Equation.3" shapeId="7185" r:id="rId11"/>
      </mc:Fallback>
    </mc:AlternateContent>
    <mc:AlternateContent xmlns:mc="http://schemas.openxmlformats.org/markup-compatibility/2006">
      <mc:Choice Requires="x14">
        <oleObject progId="Equation.3" shapeId="7186" r:id="rId13">
          <objectPr defaultSize="0" r:id="rId14">
            <anchor moveWithCells="1">
              <from>
                <xdr:col>2</xdr:col>
                <xdr:colOff>0</xdr:colOff>
                <xdr:row>33</xdr:row>
                <xdr:rowOff>0</xdr:rowOff>
              </from>
              <to>
                <xdr:col>4</xdr:col>
                <xdr:colOff>45720</xdr:colOff>
                <xdr:row>34</xdr:row>
                <xdr:rowOff>38100</xdr:rowOff>
              </to>
            </anchor>
          </objectPr>
        </oleObject>
      </mc:Choice>
      <mc:Fallback>
        <oleObject progId="Equation.3" shapeId="7186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call</vt:lpstr>
      <vt:lpstr>example put</vt:lpstr>
      <vt:lpstr>example ii_binomial</vt:lpstr>
      <vt:lpstr>B_S valuation </vt:lpstr>
      <vt:lpstr>example ii_B-S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jpereira</dc:creator>
  <cp:lastModifiedBy>jpereira</cp:lastModifiedBy>
  <dcterms:created xsi:type="dcterms:W3CDTF">2016-11-05T16:55:32Z</dcterms:created>
  <dcterms:modified xsi:type="dcterms:W3CDTF">2017-11-29T06:53:23Z</dcterms:modified>
</cp:coreProperties>
</file>