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Fiscalidade 2020\IRS 2019\"/>
    </mc:Choice>
  </mc:AlternateContent>
  <xr:revisionPtr revIDLastSave="0" documentId="13_ncr:1_{C4390BBB-739B-4453-8A7E-8971712A6C6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4abril" sheetId="1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G28" i="1" l="1"/>
  <c r="D5" i="3" l="1"/>
  <c r="D12" i="3" s="1"/>
  <c r="D3" i="3"/>
  <c r="D2" i="3"/>
  <c r="D6" i="3" s="1"/>
  <c r="C11" i="3"/>
  <c r="C3" i="3"/>
  <c r="C2" i="3"/>
  <c r="C6" i="3" s="1"/>
  <c r="B3" i="3"/>
  <c r="B2" i="3"/>
  <c r="B6" i="3" s="1"/>
  <c r="B9" i="3" s="1"/>
  <c r="C9" i="3" l="1"/>
  <c r="C10" i="3" s="1"/>
  <c r="D9" i="3"/>
  <c r="D10" i="3" s="1"/>
  <c r="G37" i="1"/>
  <c r="G7" i="1"/>
  <c r="C4" i="1"/>
  <c r="C40" i="1" l="1"/>
  <c r="G40" i="1" s="1"/>
  <c r="G13" i="1"/>
  <c r="G12" i="1"/>
  <c r="G11" i="1"/>
  <c r="G4" i="1"/>
  <c r="G9" i="1" s="1"/>
  <c r="G10" i="1" s="1"/>
  <c r="G15" i="1" l="1"/>
  <c r="C39" i="1"/>
  <c r="G39" i="1" s="1"/>
  <c r="G41" i="1" s="1"/>
  <c r="G18" i="1"/>
  <c r="G20" i="1" s="1"/>
  <c r="G21" i="1" s="1"/>
  <c r="G22" i="1" s="1"/>
  <c r="E25" i="1" s="1"/>
  <c r="G25" i="1" s="1"/>
  <c r="G26" i="1" s="1"/>
  <c r="G36" i="1" l="1"/>
  <c r="G42" i="1" s="1"/>
</calcChain>
</file>

<file path=xl/sharedStrings.xml><?xml version="1.0" encoding="utf-8"?>
<sst xmlns="http://schemas.openxmlformats.org/spreadsheetml/2006/main" count="65" uniqueCount="60">
  <si>
    <t>Valor auferido</t>
  </si>
  <si>
    <t>Dedução</t>
  </si>
  <si>
    <t>Resultado</t>
  </si>
  <si>
    <t>Limite</t>
  </si>
  <si>
    <t>Valor englobado</t>
  </si>
  <si>
    <t>SUJEITO PASSIVO A</t>
  </si>
  <si>
    <t>Categoria A</t>
  </si>
  <si>
    <t>Rendimento global</t>
  </si>
  <si>
    <t>Deduções</t>
  </si>
  <si>
    <t>Dedução específica - art.º 25.º, n.º 4</t>
  </si>
  <si>
    <t>Totalidade das contribuições obrigatórias</t>
  </si>
  <si>
    <t>Total Categoria A</t>
  </si>
  <si>
    <t>TOTAL SP A</t>
  </si>
  <si>
    <t>Cat. B - Rendimentos de trabalho dependente</t>
  </si>
  <si>
    <t>Cat. E - Rendimentos de capitais</t>
  </si>
  <si>
    <t>Cat. F - Rendimentos prediais</t>
  </si>
  <si>
    <t>Cat. G - Incrementos patrimoniais</t>
  </si>
  <si>
    <t>RENDIMENTO COLECTÁVEL</t>
  </si>
  <si>
    <t>Quociente rendimentos anos anteriores</t>
  </si>
  <si>
    <t>Rendimentos isentos engl. p/determ. da taxa</t>
  </si>
  <si>
    <t>Total do rendimento para determinação da taxa</t>
  </si>
  <si>
    <t xml:space="preserve">Total rendimento para aplicação das taxas </t>
  </si>
  <si>
    <t>Importância apurada (Total rendim. x taxa)</t>
  </si>
  <si>
    <t>Parcela a abater</t>
  </si>
  <si>
    <t>Imposto correspondente a rendimentos anos anteriores</t>
  </si>
  <si>
    <t>Imposto correspondente a rendimentos isentos</t>
  </si>
  <si>
    <t>VALOR APURADO</t>
  </si>
  <si>
    <t>COLECTA TOTAL</t>
  </si>
  <si>
    <t>Deduções à colecta</t>
  </si>
  <si>
    <t>Despesas Gerais</t>
  </si>
  <si>
    <t>Saúde</t>
  </si>
  <si>
    <t>Educação</t>
  </si>
  <si>
    <t>Dedução do IVA</t>
  </si>
  <si>
    <t>TOTAL DEDUÇÕES À COLECTA</t>
  </si>
  <si>
    <t>COLECTA LÍQUIDA (IRS liquidado)</t>
  </si>
  <si>
    <t>Retenções na fonte</t>
  </si>
  <si>
    <t>Categoria B</t>
  </si>
  <si>
    <t>Imposto apurado</t>
  </si>
  <si>
    <t>TRIBUTAÇÃO POR TAXAS ESPECIAIS</t>
  </si>
  <si>
    <t>VALOR A PAGAR</t>
  </si>
  <si>
    <t>Dependentes + Ascendentes</t>
  </si>
  <si>
    <t>Imóveis</t>
  </si>
  <si>
    <t>X</t>
  </si>
  <si>
    <t>BENEFÍCIOS FISCAIS</t>
  </si>
  <si>
    <t>Situação</t>
  </si>
  <si>
    <t>A+B</t>
  </si>
  <si>
    <t>RC</t>
  </si>
  <si>
    <t>Taxa</t>
  </si>
  <si>
    <t>P. Abater</t>
  </si>
  <si>
    <t>Coleta</t>
  </si>
  <si>
    <t>A</t>
  </si>
  <si>
    <t>B</t>
  </si>
  <si>
    <t>E</t>
  </si>
  <si>
    <t>F</t>
  </si>
  <si>
    <t>A+B+E</t>
  </si>
  <si>
    <t>Diferença</t>
  </si>
  <si>
    <t>Taxas Liberatórias</t>
  </si>
  <si>
    <t>A+B+F</t>
  </si>
  <si>
    <t>Taxas Especiais</t>
  </si>
  <si>
    <t>Coeficiente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</si>
</sst>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0.0"/>
    <numFmt numFmtId="166" formatCode="0.000"/>
    <numFmt numFmtId="167" formatCode="0.0%"/>
    <numFmt numFmtId="168" formatCode="0.000%"/>
    <numFmt numFmtId="169" formatCode="_-* #,##0\ &quot;€&quot;_-;\-* #,##0\ &quot;€&quot;_-;_-* &quot;-&quot;??\ &quot;€&quot;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56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165" fontId="3" fillId="0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9" fontId="3" fillId="0" borderId="21" xfId="0" applyNumberFormat="1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4" fontId="3" fillId="0" borderId="24" xfId="0" applyNumberFormat="1" applyFont="1" applyFill="1" applyBorder="1" applyAlignment="1">
      <alignment vertical="center"/>
    </xf>
    <xf numFmtId="9" fontId="3" fillId="0" borderId="15" xfId="1" applyFont="1" applyFill="1" applyBorder="1" applyAlignment="1">
      <alignment vertical="center"/>
    </xf>
    <xf numFmtId="4" fontId="3" fillId="0" borderId="25" xfId="0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8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6" fillId="2" borderId="6" xfId="0" applyNumberFormat="1" applyFont="1" applyFill="1" applyBorder="1" applyAlignment="1">
      <alignment vertical="center"/>
    </xf>
    <xf numFmtId="4" fontId="4" fillId="0" borderId="15" xfId="0" applyNumberFormat="1" applyFont="1" applyFill="1" applyBorder="1" applyAlignment="1">
      <alignment vertical="center"/>
    </xf>
    <xf numFmtId="4" fontId="5" fillId="0" borderId="15" xfId="0" applyNumberFormat="1" applyFont="1" applyFill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4" fontId="4" fillId="0" borderId="21" xfId="0" applyNumberFormat="1" applyFont="1" applyFill="1" applyBorder="1" applyAlignment="1">
      <alignment vertical="center"/>
    </xf>
    <xf numFmtId="4" fontId="5" fillId="0" borderId="21" xfId="0" applyNumberFormat="1" applyFont="1" applyFill="1" applyBorder="1" applyAlignment="1">
      <alignment vertical="center"/>
    </xf>
    <xf numFmtId="4" fontId="7" fillId="0" borderId="17" xfId="0" applyNumberFormat="1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4" fillId="0" borderId="32" xfId="0" applyNumberFormat="1" applyFont="1" applyFill="1" applyBorder="1" applyAlignment="1">
      <alignment vertical="center"/>
    </xf>
    <xf numFmtId="4" fontId="5" fillId="0" borderId="19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167" fontId="6" fillId="3" borderId="3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8" fillId="3" borderId="1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4" fontId="4" fillId="0" borderId="26" xfId="0" applyNumberFormat="1" applyFont="1" applyFill="1" applyBorder="1" applyAlignment="1">
      <alignment vertical="center"/>
    </xf>
    <xf numFmtId="4" fontId="5" fillId="0" borderId="26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3" fillId="0" borderId="39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left" vertical="center"/>
    </xf>
    <xf numFmtId="4" fontId="7" fillId="0" borderId="39" xfId="0" applyNumberFormat="1" applyFont="1" applyFill="1" applyBorder="1" applyAlignment="1">
      <alignment vertical="center"/>
    </xf>
    <xf numFmtId="9" fontId="5" fillId="0" borderId="21" xfId="0" applyNumberFormat="1" applyFont="1" applyFill="1" applyBorder="1" applyAlignment="1">
      <alignment vertical="center"/>
    </xf>
    <xf numFmtId="4" fontId="7" fillId="0" borderId="21" xfId="0" applyNumberFormat="1" applyFont="1" applyFill="1" applyBorder="1" applyAlignment="1">
      <alignment vertical="center"/>
    </xf>
    <xf numFmtId="4" fontId="5" fillId="0" borderId="21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10" fontId="5" fillId="0" borderId="21" xfId="0" applyNumberFormat="1" applyFont="1" applyFill="1" applyBorder="1" applyAlignment="1">
      <alignment vertical="center"/>
    </xf>
    <xf numFmtId="168" fontId="4" fillId="0" borderId="21" xfId="0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168" fontId="4" fillId="0" borderId="26" xfId="0" applyNumberFormat="1" applyFont="1" applyFill="1" applyBorder="1" applyAlignment="1">
      <alignment vertical="center"/>
    </xf>
    <xf numFmtId="4" fontId="5" fillId="0" borderId="37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0" fillId="0" borderId="0" xfId="2" applyFont="1"/>
    <xf numFmtId="169" fontId="0" fillId="0" borderId="0" xfId="2" applyNumberFormat="1" applyFont="1"/>
    <xf numFmtId="9" fontId="0" fillId="0" borderId="0" xfId="1" applyFont="1"/>
    <xf numFmtId="164" fontId="0" fillId="0" borderId="0" xfId="0" applyNumberFormat="1"/>
    <xf numFmtId="0" fontId="6" fillId="0" borderId="1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38100</xdr:rowOff>
        </xdr:from>
        <xdr:to>
          <xdr:col>6</xdr:col>
          <xdr:colOff>622300</xdr:colOff>
          <xdr:row>45</xdr:row>
          <xdr:rowOff>158750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4"/>
  </sheetPr>
  <dimension ref="A1:J42"/>
  <sheetViews>
    <sheetView tabSelected="1" topLeftCell="A31" zoomScale="130" zoomScaleNormal="130" workbookViewId="0">
      <selection activeCell="G39" sqref="G39"/>
    </sheetView>
  </sheetViews>
  <sheetFormatPr defaultColWidth="9.1796875" defaultRowHeight="12.5" x14ac:dyDescent="0.25"/>
  <cols>
    <col min="1" max="1" width="4.453125" style="5" customWidth="1"/>
    <col min="2" max="2" width="36.453125" style="5" bestFit="1" customWidth="1"/>
    <col min="3" max="3" width="7.81640625" style="5" bestFit="1" customWidth="1"/>
    <col min="4" max="4" width="7.7265625" style="5" bestFit="1" customWidth="1"/>
    <col min="5" max="5" width="9.1796875" style="5" bestFit="1" customWidth="1"/>
    <col min="6" max="6" width="7" style="5" bestFit="1" customWidth="1"/>
    <col min="7" max="7" width="9.26953125" style="5" customWidth="1"/>
    <col min="8" max="8" width="9.1796875" style="5"/>
    <col min="9" max="9" width="10.54296875" style="5" bestFit="1" customWidth="1"/>
    <col min="10" max="16384" width="9.1796875" style="5"/>
  </cols>
  <sheetData>
    <row r="1" spans="1:9" ht="30" customHeight="1" x14ac:dyDescent="0.25">
      <c r="A1" s="101"/>
      <c r="B1" s="102"/>
      <c r="C1" s="1" t="s">
        <v>0</v>
      </c>
      <c r="D1" s="2" t="s">
        <v>1</v>
      </c>
      <c r="E1" s="2" t="s">
        <v>2</v>
      </c>
      <c r="F1" s="3" t="s">
        <v>3</v>
      </c>
      <c r="G1" s="4" t="s">
        <v>4</v>
      </c>
    </row>
    <row r="2" spans="1:9" ht="12.75" customHeight="1" x14ac:dyDescent="0.25">
      <c r="A2" s="103" t="s">
        <v>5</v>
      </c>
      <c r="B2" s="104"/>
      <c r="C2" s="6"/>
      <c r="D2" s="7"/>
      <c r="E2" s="7"/>
      <c r="F2" s="8"/>
      <c r="G2" s="9"/>
    </row>
    <row r="3" spans="1:9" ht="12.75" customHeight="1" x14ac:dyDescent="0.25">
      <c r="A3" s="10" t="s">
        <v>6</v>
      </c>
      <c r="B3" s="11"/>
      <c r="C3" s="12"/>
      <c r="D3" s="13"/>
      <c r="E3" s="13"/>
      <c r="F3" s="13"/>
      <c r="G3" s="14"/>
    </row>
    <row r="4" spans="1:9" ht="12.75" customHeight="1" x14ac:dyDescent="0.25">
      <c r="A4" s="15"/>
      <c r="B4" s="16" t="s">
        <v>7</v>
      </c>
      <c r="C4" s="12">
        <f>1715*14</f>
        <v>24010</v>
      </c>
      <c r="D4" s="17"/>
      <c r="E4" s="13"/>
      <c r="F4" s="13"/>
      <c r="G4" s="14">
        <f>+C4</f>
        <v>24010</v>
      </c>
    </row>
    <row r="5" spans="1:9" ht="12.75" customHeight="1" x14ac:dyDescent="0.25">
      <c r="A5" s="15"/>
      <c r="B5" s="16"/>
      <c r="C5" s="18"/>
      <c r="D5" s="19"/>
      <c r="E5" s="20"/>
      <c r="F5" s="21"/>
      <c r="G5" s="22"/>
    </row>
    <row r="6" spans="1:9" ht="12.75" customHeight="1" x14ac:dyDescent="0.25">
      <c r="A6" s="15" t="s">
        <v>8</v>
      </c>
      <c r="B6" s="16"/>
      <c r="C6" s="23"/>
      <c r="D6" s="24"/>
      <c r="E6" s="25"/>
      <c r="F6" s="25"/>
      <c r="G6" s="26"/>
    </row>
    <row r="7" spans="1:9" ht="12.75" customHeight="1" x14ac:dyDescent="0.25">
      <c r="A7" s="15"/>
      <c r="B7" s="16" t="s">
        <v>9</v>
      </c>
      <c r="C7" s="23"/>
      <c r="D7" s="24"/>
      <c r="E7" s="25"/>
      <c r="F7" s="25"/>
      <c r="G7" s="26">
        <f>0.75*12*475</f>
        <v>4275</v>
      </c>
      <c r="I7" s="27"/>
    </row>
    <row r="8" spans="1:9" ht="12.75" customHeight="1" x14ac:dyDescent="0.25">
      <c r="A8" s="15"/>
      <c r="B8" s="28" t="s">
        <v>10</v>
      </c>
      <c r="C8" s="23"/>
      <c r="D8" s="25"/>
      <c r="E8" s="25"/>
      <c r="F8" s="25"/>
      <c r="G8" s="26"/>
    </row>
    <row r="9" spans="1:9" ht="12.75" customHeight="1" x14ac:dyDescent="0.25">
      <c r="A9" s="105" t="s">
        <v>11</v>
      </c>
      <c r="B9" s="106"/>
      <c r="C9" s="29"/>
      <c r="D9" s="30"/>
      <c r="E9" s="31"/>
      <c r="F9" s="32"/>
      <c r="G9" s="33">
        <f>SUM(G4:G5)-SUM(G7:G8)</f>
        <v>19735</v>
      </c>
    </row>
    <row r="10" spans="1:9" ht="12.75" customHeight="1" x14ac:dyDescent="0.25">
      <c r="A10" s="107" t="s">
        <v>12</v>
      </c>
      <c r="B10" s="108"/>
      <c r="C10" s="29"/>
      <c r="D10" s="30"/>
      <c r="E10" s="31"/>
      <c r="F10" s="32"/>
      <c r="G10" s="33">
        <f>+G9</f>
        <v>19735</v>
      </c>
    </row>
    <row r="11" spans="1:9" x14ac:dyDescent="0.25">
      <c r="A11" s="34" t="s">
        <v>13</v>
      </c>
      <c r="B11" s="35"/>
      <c r="C11" s="36">
        <v>15000</v>
      </c>
      <c r="D11" s="37">
        <v>0.25</v>
      </c>
      <c r="E11" s="38"/>
      <c r="F11" s="38"/>
      <c r="G11" s="39">
        <f>+C11*(1-D11)</f>
        <v>11250</v>
      </c>
    </row>
    <row r="12" spans="1:9" x14ac:dyDescent="0.25">
      <c r="A12" s="34" t="s">
        <v>14</v>
      </c>
      <c r="B12" s="35"/>
      <c r="C12" s="12"/>
      <c r="D12" s="37"/>
      <c r="E12" s="40"/>
      <c r="F12" s="13"/>
      <c r="G12" s="39">
        <f>C12-D12</f>
        <v>0</v>
      </c>
    </row>
    <row r="13" spans="1:9" x14ac:dyDescent="0.25">
      <c r="A13" s="34" t="s">
        <v>15</v>
      </c>
      <c r="B13" s="35"/>
      <c r="C13" s="23"/>
      <c r="D13" s="25"/>
      <c r="E13" s="41"/>
      <c r="F13" s="25"/>
      <c r="G13" s="39">
        <f>C13-D13</f>
        <v>0</v>
      </c>
    </row>
    <row r="14" spans="1:9" x14ac:dyDescent="0.25">
      <c r="A14" s="34" t="s">
        <v>16</v>
      </c>
      <c r="B14" s="35"/>
      <c r="C14" s="42"/>
      <c r="D14" s="43"/>
      <c r="E14" s="43"/>
      <c r="F14" s="43"/>
      <c r="G14" s="39">
        <v>0</v>
      </c>
    </row>
    <row r="15" spans="1:9" x14ac:dyDescent="0.25">
      <c r="A15" s="44" t="s">
        <v>17</v>
      </c>
      <c r="B15" s="45"/>
      <c r="C15" s="29"/>
      <c r="D15" s="46"/>
      <c r="E15" s="47"/>
      <c r="F15" s="48"/>
      <c r="G15" s="49">
        <f>+G10+G11</f>
        <v>30985</v>
      </c>
    </row>
    <row r="16" spans="1:9" x14ac:dyDescent="0.25">
      <c r="A16" s="34" t="s">
        <v>18</v>
      </c>
      <c r="B16" s="35"/>
      <c r="C16" s="12"/>
      <c r="D16" s="50"/>
      <c r="E16" s="13"/>
      <c r="F16" s="51"/>
      <c r="G16" s="52">
        <v>0</v>
      </c>
    </row>
    <row r="17" spans="1:8" x14ac:dyDescent="0.25">
      <c r="A17" s="53" t="s">
        <v>19</v>
      </c>
      <c r="B17" s="54"/>
      <c r="C17" s="23"/>
      <c r="D17" s="55"/>
      <c r="E17" s="25"/>
      <c r="F17" s="56"/>
      <c r="G17" s="57">
        <v>0</v>
      </c>
    </row>
    <row r="18" spans="1:8" x14ac:dyDescent="0.25">
      <c r="A18" s="53" t="s">
        <v>20</v>
      </c>
      <c r="B18" s="54"/>
      <c r="C18" s="23"/>
      <c r="D18" s="55"/>
      <c r="E18" s="25"/>
      <c r="F18" s="56"/>
      <c r="G18" s="58">
        <f>G15+G17-G16</f>
        <v>30985</v>
      </c>
    </row>
    <row r="19" spans="1:8" x14ac:dyDescent="0.25">
      <c r="A19" s="53" t="s">
        <v>59</v>
      </c>
      <c r="B19" s="54"/>
      <c r="C19" s="23"/>
      <c r="D19" s="55"/>
      <c r="E19" s="25"/>
      <c r="F19" s="56"/>
      <c r="G19" s="57">
        <v>1</v>
      </c>
    </row>
    <row r="20" spans="1:8" x14ac:dyDescent="0.25">
      <c r="A20" s="53" t="s">
        <v>21</v>
      </c>
      <c r="B20" s="59"/>
      <c r="C20" s="23"/>
      <c r="D20" s="60"/>
      <c r="E20" s="40"/>
      <c r="F20" s="61"/>
      <c r="G20" s="62">
        <f>+G18/G19</f>
        <v>30985</v>
      </c>
    </row>
    <row r="21" spans="1:8" x14ac:dyDescent="0.25">
      <c r="A21" s="63" t="s">
        <v>22</v>
      </c>
      <c r="B21" s="64"/>
      <c r="C21" s="65">
        <v>0.37</v>
      </c>
      <c r="D21" s="66"/>
      <c r="E21" s="47"/>
      <c r="F21" s="48"/>
      <c r="G21" s="67">
        <f>+ROUNDUP(G20*C21,2)</f>
        <v>11464.45</v>
      </c>
    </row>
    <row r="22" spans="1:8" x14ac:dyDescent="0.25">
      <c r="A22" s="34" t="s">
        <v>23</v>
      </c>
      <c r="B22" s="35"/>
      <c r="C22" s="23">
        <v>3008.2</v>
      </c>
      <c r="D22" s="50"/>
      <c r="E22" s="13"/>
      <c r="F22" s="51"/>
      <c r="G22" s="68">
        <f>+G21-C22</f>
        <v>8456.25</v>
      </c>
    </row>
    <row r="23" spans="1:8" x14ac:dyDescent="0.25">
      <c r="A23" s="53" t="s">
        <v>24</v>
      </c>
      <c r="B23" s="54"/>
      <c r="C23" s="23"/>
      <c r="D23" s="55"/>
      <c r="E23" s="25"/>
      <c r="F23" s="56"/>
      <c r="G23" s="26"/>
      <c r="H23" s="69"/>
    </row>
    <row r="24" spans="1:8" x14ac:dyDescent="0.25">
      <c r="A24" s="70" t="s">
        <v>25</v>
      </c>
      <c r="B24" s="71"/>
      <c r="C24" s="72"/>
      <c r="D24" s="73"/>
      <c r="E24" s="41"/>
      <c r="F24" s="74"/>
      <c r="G24" s="75"/>
    </row>
    <row r="25" spans="1:8" ht="17.149999999999999" customHeight="1" x14ac:dyDescent="0.25">
      <c r="A25" s="44" t="s">
        <v>26</v>
      </c>
      <c r="B25" s="45"/>
      <c r="C25" s="29"/>
      <c r="D25" s="46"/>
      <c r="E25" s="76">
        <f>+G22</f>
        <v>8456.25</v>
      </c>
      <c r="F25" s="76">
        <v>1</v>
      </c>
      <c r="G25" s="67">
        <f>E25*F25</f>
        <v>8456.25</v>
      </c>
    </row>
    <row r="26" spans="1:8" ht="12.75" customHeight="1" x14ac:dyDescent="0.25">
      <c r="A26" s="77" t="s">
        <v>27</v>
      </c>
      <c r="B26" s="78"/>
      <c r="C26" s="79"/>
      <c r="D26" s="55"/>
      <c r="E26" s="25"/>
      <c r="F26" s="56"/>
      <c r="G26" s="58">
        <f>+G25</f>
        <v>8456.25</v>
      </c>
    </row>
    <row r="27" spans="1:8" ht="12.75" customHeight="1" x14ac:dyDescent="0.25">
      <c r="A27" s="53" t="s">
        <v>28</v>
      </c>
      <c r="B27" s="80"/>
      <c r="C27" s="79"/>
      <c r="D27" s="55"/>
      <c r="E27" s="25"/>
      <c r="F27" s="56"/>
      <c r="G27" s="26"/>
      <c r="H27" s="69"/>
    </row>
    <row r="28" spans="1:8" ht="12.75" customHeight="1" x14ac:dyDescent="0.25">
      <c r="A28" s="53"/>
      <c r="B28" s="81" t="s">
        <v>40</v>
      </c>
      <c r="C28" s="82"/>
      <c r="D28" s="83"/>
      <c r="E28" s="84"/>
      <c r="F28" s="85"/>
      <c r="G28" s="57">
        <f>600+726+525+110</f>
        <v>1961</v>
      </c>
      <c r="H28" s="69"/>
    </row>
    <row r="29" spans="1:8" ht="12.75" customHeight="1" x14ac:dyDescent="0.25">
      <c r="A29" s="53"/>
      <c r="B29" s="81" t="s">
        <v>29</v>
      </c>
      <c r="C29" s="82"/>
      <c r="D29" s="83"/>
      <c r="E29" s="84"/>
      <c r="F29" s="85"/>
      <c r="G29" s="57">
        <v>250</v>
      </c>
      <c r="H29" s="69"/>
    </row>
    <row r="30" spans="1:8" ht="12.75" customHeight="1" x14ac:dyDescent="0.25">
      <c r="A30" s="53"/>
      <c r="B30" s="81" t="s">
        <v>30</v>
      </c>
      <c r="C30" s="82"/>
      <c r="D30" s="83"/>
      <c r="E30" s="84"/>
      <c r="F30" s="85"/>
      <c r="G30" s="57">
        <v>880</v>
      </c>
      <c r="H30" s="69" t="s">
        <v>42</v>
      </c>
    </row>
    <row r="31" spans="1:8" ht="12.75" customHeight="1" x14ac:dyDescent="0.25">
      <c r="A31" s="53"/>
      <c r="B31" s="81" t="s">
        <v>31</v>
      </c>
      <c r="C31" s="82"/>
      <c r="D31" s="83"/>
      <c r="E31" s="84"/>
      <c r="F31" s="56"/>
      <c r="G31" s="57">
        <v>720</v>
      </c>
      <c r="H31" s="5" t="s">
        <v>42</v>
      </c>
    </row>
    <row r="32" spans="1:8" ht="12.75" customHeight="1" x14ac:dyDescent="0.25">
      <c r="A32" s="34"/>
      <c r="B32" s="86" t="s">
        <v>41</v>
      </c>
      <c r="C32" s="82"/>
      <c r="D32" s="83"/>
      <c r="E32" s="84"/>
      <c r="F32" s="56"/>
      <c r="G32" s="57">
        <v>290</v>
      </c>
      <c r="H32" s="5" t="s">
        <v>42</v>
      </c>
    </row>
    <row r="33" spans="1:10" ht="12.75" customHeight="1" x14ac:dyDescent="0.25">
      <c r="A33" s="34"/>
      <c r="B33" s="86" t="s">
        <v>32</v>
      </c>
      <c r="C33" s="82"/>
      <c r="D33" s="83"/>
      <c r="E33" s="84"/>
      <c r="F33" s="56"/>
      <c r="G33" s="57">
        <v>110</v>
      </c>
      <c r="H33" s="5" t="s">
        <v>42</v>
      </c>
    </row>
    <row r="34" spans="1:10" x14ac:dyDescent="0.25">
      <c r="A34" s="87" t="s">
        <v>43</v>
      </c>
      <c r="B34" s="88"/>
      <c r="C34" s="82"/>
      <c r="D34" s="89"/>
      <c r="E34" s="84"/>
      <c r="F34" s="56"/>
      <c r="G34" s="57">
        <v>85</v>
      </c>
      <c r="H34" s="5" t="s">
        <v>42</v>
      </c>
      <c r="I34" s="69"/>
    </row>
    <row r="35" spans="1:10" ht="17.149999999999999" customHeight="1" x14ac:dyDescent="0.25">
      <c r="A35" s="63" t="s">
        <v>33</v>
      </c>
      <c r="B35" s="64"/>
      <c r="C35" s="29"/>
      <c r="D35" s="46"/>
      <c r="E35" s="47"/>
      <c r="F35" s="48"/>
      <c r="G35" s="67">
        <f>+G28+G29+MIN(2012.69,SUM(G30:G34))</f>
        <v>4223.6900000000005</v>
      </c>
      <c r="H35" s="69"/>
      <c r="I35" s="69"/>
    </row>
    <row r="36" spans="1:10" ht="17.149999999999999" customHeight="1" x14ac:dyDescent="0.25">
      <c r="A36" s="44" t="s">
        <v>34</v>
      </c>
      <c r="B36" s="45"/>
      <c r="C36" s="29"/>
      <c r="D36" s="46"/>
      <c r="E36" s="47"/>
      <c r="F36" s="48"/>
      <c r="G36" s="67">
        <f>G26-G35</f>
        <v>4232.5599999999995</v>
      </c>
    </row>
    <row r="37" spans="1:10" x14ac:dyDescent="0.25">
      <c r="A37" s="99" t="s">
        <v>38</v>
      </c>
      <c r="B37" s="100"/>
      <c r="C37" s="94"/>
      <c r="D37" s="48"/>
      <c r="E37" s="48"/>
      <c r="F37" s="48"/>
      <c r="G37" s="67">
        <f>+(35000-7400)*0.28</f>
        <v>7728.0000000000009</v>
      </c>
    </row>
    <row r="38" spans="1:10" x14ac:dyDescent="0.25">
      <c r="A38" s="53" t="s">
        <v>35</v>
      </c>
      <c r="B38" s="54"/>
      <c r="C38" s="23"/>
      <c r="D38" s="90"/>
      <c r="E38" s="25"/>
      <c r="F38" s="56"/>
      <c r="G38" s="58"/>
      <c r="I38" s="91"/>
    </row>
    <row r="39" spans="1:10" x14ac:dyDescent="0.25">
      <c r="A39" s="70"/>
      <c r="B39" s="71" t="s">
        <v>6</v>
      </c>
      <c r="C39" s="72">
        <f>+C4</f>
        <v>24010</v>
      </c>
      <c r="D39" s="92">
        <v>0.17899999999999999</v>
      </c>
      <c r="E39" s="41"/>
      <c r="F39" s="74"/>
      <c r="G39" s="93">
        <f>+INT(C39/14*D39)*14</f>
        <v>4284</v>
      </c>
      <c r="J39" s="69"/>
    </row>
    <row r="40" spans="1:10" x14ac:dyDescent="0.25">
      <c r="A40" s="70"/>
      <c r="B40" s="71" t="s">
        <v>36</v>
      </c>
      <c r="C40" s="72">
        <f>+C11</f>
        <v>15000</v>
      </c>
      <c r="D40" s="92">
        <v>0.25</v>
      </c>
      <c r="E40" s="41"/>
      <c r="F40" s="74"/>
      <c r="G40" s="93">
        <f>+C40*D40</f>
        <v>3750</v>
      </c>
    </row>
    <row r="41" spans="1:10" x14ac:dyDescent="0.25">
      <c r="A41" s="63" t="s">
        <v>37</v>
      </c>
      <c r="B41" s="64"/>
      <c r="C41" s="29"/>
      <c r="D41" s="46"/>
      <c r="E41" s="47"/>
      <c r="F41" s="48"/>
      <c r="G41" s="49">
        <f>+G39+G40</f>
        <v>8034</v>
      </c>
    </row>
    <row r="42" spans="1:10" x14ac:dyDescent="0.25">
      <c r="A42" s="99" t="s">
        <v>39</v>
      </c>
      <c r="B42" s="100"/>
      <c r="C42" s="94"/>
      <c r="D42" s="48"/>
      <c r="E42" s="48"/>
      <c r="F42" s="48"/>
      <c r="G42" s="67">
        <f>+G36+G37-G41</f>
        <v>3926.5600000000013</v>
      </c>
    </row>
  </sheetData>
  <mergeCells count="6">
    <mergeCell ref="A37:B37"/>
    <mergeCell ref="A42:B42"/>
    <mergeCell ref="A1:B1"/>
    <mergeCell ref="A2:B2"/>
    <mergeCell ref="A9:B9"/>
    <mergeCell ref="A10:B10"/>
  </mergeCells>
  <printOptions horizontalCentered="1"/>
  <pageMargins left="0.51181102362204722" right="0.27559055118110237" top="0.51181102362204722" bottom="0.39370078740157483" header="0.23622047244094491" footer="0.11811023622047245"/>
  <pageSetup paperSize="9" orientation="portrait" r:id="rId1"/>
  <headerFooter scaleWithDoc="0" alignWithMargins="0">
    <oddFooter>&amp;LPágina &amp;P/&amp;N&amp;R&amp;D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0</xdr:col>
                <xdr:colOff>19050</xdr:colOff>
                <xdr:row>42</xdr:row>
                <xdr:rowOff>38100</xdr:rowOff>
              </from>
              <to>
                <xdr:col>6</xdr:col>
                <xdr:colOff>622300</xdr:colOff>
                <xdr:row>45</xdr:row>
                <xdr:rowOff>165100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4" zoomScale="190" zoomScaleNormal="190" workbookViewId="0">
      <selection activeCell="A10" sqref="A10"/>
    </sheetView>
  </sheetViews>
  <sheetFormatPr defaultRowHeight="12.5" x14ac:dyDescent="0.25"/>
  <cols>
    <col min="1" max="1" width="16.453125" bestFit="1" customWidth="1"/>
    <col min="2" max="4" width="12.1796875" bestFit="1" customWidth="1"/>
    <col min="6" max="6" width="9.453125" bestFit="1" customWidth="1"/>
    <col min="8" max="9" width="10.81640625" bestFit="1" customWidth="1"/>
  </cols>
  <sheetData>
    <row r="1" spans="1:9" x14ac:dyDescent="0.25">
      <c r="A1" t="s">
        <v>44</v>
      </c>
      <c r="B1" t="s">
        <v>45</v>
      </c>
      <c r="C1" t="s">
        <v>54</v>
      </c>
      <c r="D1" t="s">
        <v>57</v>
      </c>
      <c r="F1" s="96"/>
      <c r="G1" s="97"/>
      <c r="H1" s="95"/>
      <c r="I1" s="95"/>
    </row>
    <row r="2" spans="1:9" x14ac:dyDescent="0.25">
      <c r="A2" t="s">
        <v>50</v>
      </c>
      <c r="B2" s="95">
        <f>24010-4275</f>
        <v>19735</v>
      </c>
      <c r="C2" s="95">
        <f>24010-4275</f>
        <v>19735</v>
      </c>
      <c r="D2" s="95">
        <f>24010-4275</f>
        <v>19735</v>
      </c>
      <c r="F2" s="96"/>
      <c r="G2" s="97"/>
      <c r="H2" s="95"/>
      <c r="I2" s="95"/>
    </row>
    <row r="3" spans="1:9" x14ac:dyDescent="0.25">
      <c r="A3" t="s">
        <v>51</v>
      </c>
      <c r="B3" s="95">
        <f>15000*0.75</f>
        <v>11250</v>
      </c>
      <c r="C3" s="95">
        <f>15000*0.75</f>
        <v>11250</v>
      </c>
      <c r="D3" s="95">
        <f>15000*0.75</f>
        <v>11250</v>
      </c>
      <c r="F3" s="96"/>
      <c r="G3" s="97"/>
      <c r="H3" s="95"/>
      <c r="I3" s="95"/>
    </row>
    <row r="4" spans="1:9" x14ac:dyDescent="0.25">
      <c r="A4" t="s">
        <v>52</v>
      </c>
      <c r="B4" s="95"/>
      <c r="C4" s="95">
        <v>200</v>
      </c>
      <c r="D4" s="95"/>
      <c r="G4" s="97"/>
      <c r="H4" s="95"/>
      <c r="I4" s="95"/>
    </row>
    <row r="5" spans="1:9" x14ac:dyDescent="0.25">
      <c r="A5" t="s">
        <v>53</v>
      </c>
      <c r="B5" s="95"/>
      <c r="C5" s="95"/>
      <c r="D5" s="95">
        <f>35000-7400</f>
        <v>27600</v>
      </c>
    </row>
    <row r="6" spans="1:9" x14ac:dyDescent="0.25">
      <c r="A6" t="s">
        <v>46</v>
      </c>
      <c r="B6" s="95">
        <f>+B2+B3</f>
        <v>30985</v>
      </c>
      <c r="C6" s="95">
        <f>+C2+C3+C4</f>
        <v>31185</v>
      </c>
      <c r="D6" s="95">
        <f>+D2+D3+D5</f>
        <v>58585</v>
      </c>
    </row>
    <row r="7" spans="1:9" x14ac:dyDescent="0.25">
      <c r="A7" t="s">
        <v>47</v>
      </c>
      <c r="B7" s="97">
        <v>0.37</v>
      </c>
      <c r="C7" s="97">
        <v>0.37</v>
      </c>
      <c r="D7" s="97">
        <v>0.45</v>
      </c>
    </row>
    <row r="8" spans="1:9" x14ac:dyDescent="0.25">
      <c r="A8" t="s">
        <v>48</v>
      </c>
      <c r="B8" s="95">
        <v>3008.2</v>
      </c>
      <c r="C8" s="95">
        <v>3008.2</v>
      </c>
      <c r="D8" s="95">
        <v>5956.68</v>
      </c>
    </row>
    <row r="9" spans="1:9" x14ac:dyDescent="0.25">
      <c r="A9" t="s">
        <v>49</v>
      </c>
      <c r="B9" s="95">
        <f>+B6*B7-B8</f>
        <v>8456.25</v>
      </c>
      <c r="C9" s="95">
        <f>+C6*C7-C8</f>
        <v>8530.25</v>
      </c>
      <c r="D9" s="95">
        <f>+D6*D7-D8</f>
        <v>20406.57</v>
      </c>
    </row>
    <row r="10" spans="1:9" x14ac:dyDescent="0.25">
      <c r="A10" t="s">
        <v>55</v>
      </c>
      <c r="C10" s="98">
        <f>+C9-B9</f>
        <v>74</v>
      </c>
      <c r="D10" s="98">
        <f>+D9-B9</f>
        <v>11950.32</v>
      </c>
    </row>
    <row r="11" spans="1:9" x14ac:dyDescent="0.25">
      <c r="A11" t="s">
        <v>56</v>
      </c>
      <c r="C11" s="98">
        <f>+C4*0.28</f>
        <v>56.000000000000007</v>
      </c>
      <c r="D11" s="98"/>
    </row>
    <row r="12" spans="1:9" x14ac:dyDescent="0.25">
      <c r="A12" t="s">
        <v>58</v>
      </c>
      <c r="D12" s="98">
        <f>+D5*0.28</f>
        <v>7728.0000000000009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4abril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Tiago Diogo</cp:lastModifiedBy>
  <cp:lastPrinted>2018-04-05T19:00:20Z</cp:lastPrinted>
  <dcterms:created xsi:type="dcterms:W3CDTF">2017-04-04T19:17:35Z</dcterms:created>
  <dcterms:modified xsi:type="dcterms:W3CDTF">2019-10-28T15:13:13Z</dcterms:modified>
</cp:coreProperties>
</file>