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phdisegutl-my.sharepoint.com/personal/jcneves_iseg_ulisboa_pt/Documents/Teaching-English/ISEG-CorporateFinance-Master Finance/"/>
    </mc:Choice>
  </mc:AlternateContent>
  <bookViews>
    <workbookView xWindow="0" yWindow="0" windowWidth="20490" windowHeight="7620" activeTab="3"/>
  </bookViews>
  <sheets>
    <sheet name="Portugal" sheetId="1" r:id="rId1"/>
    <sheet name="UK" sheetId="2" r:id="rId2"/>
    <sheet name="APV" sheetId="3" r:id="rId3"/>
    <sheet name="Equity cash flow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4" l="1"/>
  <c r="B31" i="3"/>
  <c r="B29" i="3"/>
  <c r="B17" i="3"/>
  <c r="B25" i="1"/>
  <c r="B37" i="1" s="1"/>
  <c r="F5" i="1"/>
  <c r="F7" i="1" s="1"/>
  <c r="E5" i="1"/>
  <c r="E7" i="1" s="1"/>
  <c r="D5" i="1"/>
  <c r="D7" i="1" s="1"/>
  <c r="C5" i="1"/>
  <c r="C7" i="1" s="1"/>
  <c r="C29" i="1" s="1"/>
  <c r="B18" i="4" l="1"/>
  <c r="B12" i="4"/>
  <c r="F5" i="3"/>
  <c r="B6" i="3"/>
  <c r="E6" i="3"/>
  <c r="F6" i="3" l="1"/>
  <c r="F7" i="3" s="1"/>
  <c r="B27" i="3" s="1"/>
  <c r="F46" i="2"/>
  <c r="E46" i="2"/>
  <c r="D46" i="2"/>
  <c r="B48" i="2"/>
  <c r="C47" i="2"/>
  <c r="C46" i="2"/>
  <c r="B42" i="2"/>
  <c r="B31" i="2"/>
  <c r="F31" i="2"/>
  <c r="E31" i="2"/>
  <c r="D31" i="2"/>
  <c r="C31" i="2"/>
  <c r="E29" i="2"/>
  <c r="D29" i="2"/>
  <c r="C29" i="2"/>
  <c r="E23" i="1"/>
  <c r="D23" i="1"/>
  <c r="C23" i="1"/>
  <c r="F39" i="1"/>
  <c r="F14" i="4" s="1"/>
  <c r="F44" i="2"/>
  <c r="B43" i="2"/>
  <c r="F34" i="2"/>
  <c r="E34" i="2"/>
  <c r="D34" i="2"/>
  <c r="C34" i="2"/>
  <c r="B34" i="2"/>
  <c r="C42" i="2"/>
  <c r="F42" i="2"/>
  <c r="C22" i="2"/>
  <c r="C23" i="2" s="1"/>
  <c r="C18" i="2"/>
  <c r="C17" i="2"/>
  <c r="C19" i="2" s="1"/>
  <c r="D17" i="2" s="1"/>
  <c r="F14" i="2"/>
  <c r="F37" i="2" s="1"/>
  <c r="E14" i="2"/>
  <c r="E37" i="2" s="1"/>
  <c r="D14" i="2"/>
  <c r="D37" i="2" s="1"/>
  <c r="C14" i="2"/>
  <c r="C37" i="2" s="1"/>
  <c r="F10" i="2"/>
  <c r="F36" i="2" s="1"/>
  <c r="E10" i="2"/>
  <c r="E36" i="2" s="1"/>
  <c r="D10" i="2"/>
  <c r="D36" i="2" s="1"/>
  <c r="C10" i="2"/>
  <c r="C36" i="2" s="1"/>
  <c r="F6" i="2"/>
  <c r="F35" i="2" s="1"/>
  <c r="E6" i="2"/>
  <c r="E35" i="2" s="1"/>
  <c r="D6" i="2"/>
  <c r="D35" i="2" s="1"/>
  <c r="C6" i="2"/>
  <c r="C35" i="2" s="1"/>
  <c r="C38" i="2" s="1"/>
  <c r="B45" i="2" l="1"/>
  <c r="B47" i="2" s="1"/>
  <c r="E42" i="2"/>
  <c r="D18" i="2"/>
  <c r="D19" i="2" s="1"/>
  <c r="E17" i="2" s="1"/>
  <c r="D38" i="2"/>
  <c r="C39" i="2"/>
  <c r="D22" i="2"/>
  <c r="C25" i="2"/>
  <c r="C40" i="2" s="1"/>
  <c r="E18" i="2"/>
  <c r="D42" i="2"/>
  <c r="B38" i="1"/>
  <c r="F28" i="1"/>
  <c r="E28" i="1"/>
  <c r="D28" i="1"/>
  <c r="B28" i="1"/>
  <c r="C28" i="1"/>
  <c r="C19" i="1"/>
  <c r="B40" i="1" l="1"/>
  <c r="B13" i="4"/>
  <c r="D19" i="1"/>
  <c r="C32" i="1"/>
  <c r="C36" i="1" s="1"/>
  <c r="C11" i="4" s="1"/>
  <c r="B26" i="3"/>
  <c r="C4" i="3"/>
  <c r="D39" i="2"/>
  <c r="C41" i="2"/>
  <c r="C45" i="2" s="1"/>
  <c r="E19" i="2"/>
  <c r="F17" i="2" s="1"/>
  <c r="D23" i="2"/>
  <c r="E22" i="2" s="1"/>
  <c r="E23" i="2" s="1"/>
  <c r="E25" i="2" s="1"/>
  <c r="E40" i="2" s="1"/>
  <c r="F18" i="2"/>
  <c r="C18" i="1"/>
  <c r="B42" i="1"/>
  <c r="D15" i="1"/>
  <c r="D31" i="1" s="1"/>
  <c r="E15" i="1"/>
  <c r="E31" i="1" s="1"/>
  <c r="F15" i="1"/>
  <c r="F31" i="1" s="1"/>
  <c r="C15" i="1"/>
  <c r="C31" i="1" s="1"/>
  <c r="D11" i="1"/>
  <c r="D30" i="1" s="1"/>
  <c r="E11" i="1"/>
  <c r="E30" i="1" s="1"/>
  <c r="F11" i="1"/>
  <c r="F30" i="1" s="1"/>
  <c r="C11" i="1"/>
  <c r="C30" i="1" s="1"/>
  <c r="C33" i="1" s="1"/>
  <c r="C5" i="4" s="1"/>
  <c r="D29" i="1"/>
  <c r="E29" i="1"/>
  <c r="F29" i="1"/>
  <c r="E19" i="1" l="1"/>
  <c r="D32" i="1"/>
  <c r="D36" i="1" s="1"/>
  <c r="D11" i="4" s="1"/>
  <c r="C5" i="3"/>
  <c r="C6" i="3"/>
  <c r="D25" i="2"/>
  <c r="F22" i="2"/>
  <c r="E38" i="2"/>
  <c r="F19" i="2"/>
  <c r="D33" i="1"/>
  <c r="D5" i="4" s="1"/>
  <c r="C34" i="1"/>
  <c r="B18" i="3" l="1"/>
  <c r="C11" i="3"/>
  <c r="F19" i="1"/>
  <c r="E32" i="1"/>
  <c r="B10" i="3"/>
  <c r="B15" i="4"/>
  <c r="B17" i="4" s="1"/>
  <c r="F25" i="2"/>
  <c r="F40" i="2" s="1"/>
  <c r="D40" i="2"/>
  <c r="D41" i="2" s="1"/>
  <c r="D45" i="2" s="1"/>
  <c r="D47" i="2" s="1"/>
  <c r="F38" i="2"/>
  <c r="E39" i="2"/>
  <c r="D34" i="1"/>
  <c r="D35" i="1" s="1"/>
  <c r="C35" i="1"/>
  <c r="C20" i="1"/>
  <c r="D18" i="1" s="1"/>
  <c r="E36" i="1" l="1"/>
  <c r="E11" i="4" s="1"/>
  <c r="E33" i="1"/>
  <c r="F32" i="1"/>
  <c r="F36" i="1" s="1"/>
  <c r="F11" i="4" s="1"/>
  <c r="D11" i="3"/>
  <c r="C12" i="3"/>
  <c r="F39" i="2"/>
  <c r="F41" i="2"/>
  <c r="E41" i="2"/>
  <c r="E45" i="2" s="1"/>
  <c r="E47" i="2" s="1"/>
  <c r="C6" i="4" l="1"/>
  <c r="C7" i="4" s="1"/>
  <c r="C10" i="4" s="1"/>
  <c r="C15" i="3"/>
  <c r="E5" i="4"/>
  <c r="E34" i="1"/>
  <c r="E35" i="1" s="1"/>
  <c r="C13" i="3"/>
  <c r="E11" i="3"/>
  <c r="F11" i="3" s="1"/>
  <c r="F45" i="2"/>
  <c r="F47" i="2" s="1"/>
  <c r="B49" i="2" s="1"/>
  <c r="D20" i="1"/>
  <c r="E18" i="1" s="1"/>
  <c r="C16" i="4" l="1"/>
  <c r="C10" i="3"/>
  <c r="E20" i="1"/>
  <c r="D12" i="3" l="1"/>
  <c r="D15" i="3" s="1"/>
  <c r="F18" i="1"/>
  <c r="F20" i="1" s="1"/>
  <c r="F33" i="1" s="1"/>
  <c r="F5" i="4" s="1"/>
  <c r="D6" i="4" l="1"/>
  <c r="D7" i="4" s="1"/>
  <c r="D9" i="4" s="1"/>
  <c r="D10" i="4" s="1"/>
  <c r="D13" i="3"/>
  <c r="F34" i="1"/>
  <c r="F35" i="1" s="1"/>
  <c r="D16" i="4" l="1"/>
  <c r="D10" i="3"/>
  <c r="C25" i="1"/>
  <c r="C37" i="1" s="1"/>
  <c r="F25" i="1"/>
  <c r="F37" i="1" s="1"/>
  <c r="D25" i="1"/>
  <c r="D37" i="1" s="1"/>
  <c r="E12" i="3" l="1"/>
  <c r="E15" i="3" s="1"/>
  <c r="B30" i="3" s="1"/>
  <c r="D40" i="1"/>
  <c r="D26" i="3" s="1"/>
  <c r="D12" i="4"/>
  <c r="D17" i="4" s="1"/>
  <c r="C40" i="1"/>
  <c r="C12" i="4"/>
  <c r="C17" i="4" s="1"/>
  <c r="F40" i="1"/>
  <c r="F26" i="3" s="1"/>
  <c r="F12" i="4"/>
  <c r="C26" i="3"/>
  <c r="E25" i="1"/>
  <c r="E37" i="1" s="1"/>
  <c r="E6" i="4" l="1"/>
  <c r="E7" i="4" s="1"/>
  <c r="E8" i="4" s="1"/>
  <c r="E9" i="4" s="1"/>
  <c r="E10" i="4" s="1"/>
  <c r="E13" i="3"/>
  <c r="E40" i="1"/>
  <c r="B43" i="1" s="1"/>
  <c r="B44" i="1" s="1"/>
  <c r="E12" i="4"/>
  <c r="E26" i="3" l="1"/>
  <c r="B28" i="3" s="1"/>
  <c r="E16" i="4"/>
  <c r="E10" i="3"/>
  <c r="E17" i="4"/>
  <c r="F12" i="3" l="1"/>
  <c r="F15" i="3" s="1"/>
  <c r="F6" i="4" l="1"/>
  <c r="F7" i="4" s="1"/>
  <c r="F8" i="4" s="1"/>
  <c r="F9" i="4" s="1"/>
  <c r="F10" i="4" s="1"/>
  <c r="F13" i="3"/>
  <c r="F16" i="4" l="1"/>
  <c r="F17" i="4" s="1"/>
  <c r="B19" i="4" s="1"/>
  <c r="B20" i="4" s="1"/>
  <c r="F10" i="3"/>
</calcChain>
</file>

<file path=xl/sharedStrings.xml><?xml version="1.0" encoding="utf-8"?>
<sst xmlns="http://schemas.openxmlformats.org/spreadsheetml/2006/main" count="121" uniqueCount="72">
  <si>
    <t>NOPAT</t>
  </si>
  <si>
    <t>WACC</t>
  </si>
  <si>
    <t>DCF</t>
  </si>
  <si>
    <t>NPV</t>
  </si>
  <si>
    <t>Volume</t>
  </si>
  <si>
    <t>Selling price per unit</t>
  </si>
  <si>
    <t>Inflation rate</t>
  </si>
  <si>
    <t>Revenue</t>
  </si>
  <si>
    <t>Variable cost per unit</t>
  </si>
  <si>
    <t>Variable cost</t>
  </si>
  <si>
    <t>WCR</t>
  </si>
  <si>
    <t>Increase (decrease) WCR</t>
  </si>
  <si>
    <t>Depreciation rate</t>
  </si>
  <si>
    <t>Net fixed asset opening balance</t>
  </si>
  <si>
    <t>Net fixed asset closing balance</t>
  </si>
  <si>
    <t>Variable costs</t>
  </si>
  <si>
    <t>Year</t>
  </si>
  <si>
    <t>Fixed expenses</t>
  </si>
  <si>
    <t>Annual incremental fixed expenses</t>
  </si>
  <si>
    <t>Annual depreciation</t>
  </si>
  <si>
    <t>Depreciation</t>
  </si>
  <si>
    <t>Operational profit</t>
  </si>
  <si>
    <t>Income tax rate</t>
  </si>
  <si>
    <t>WCR investment</t>
  </si>
  <si>
    <t>Net operational cash flow</t>
  </si>
  <si>
    <t>Cash flow forecasted (in thousand of €)</t>
  </si>
  <si>
    <t>Net fixed assets for tax purposes</t>
  </si>
  <si>
    <t>Depreciation for tax purposes</t>
  </si>
  <si>
    <t>Depreciation rate for tax purposes</t>
  </si>
  <si>
    <t>Tax allowance on depreciations</t>
  </si>
  <si>
    <t>initial investment</t>
  </si>
  <si>
    <t>Terminal value net of taxes</t>
  </si>
  <si>
    <t>Terminal value</t>
  </si>
  <si>
    <t>PV future cash flows</t>
  </si>
  <si>
    <t>Initial CAPEX</t>
  </si>
  <si>
    <t>TAD tax benefits</t>
  </si>
  <si>
    <t>Taxable income</t>
  </si>
  <si>
    <t>First year cash flow</t>
  </si>
  <si>
    <t>Cost of equity</t>
  </si>
  <si>
    <t>Cost of debt</t>
  </si>
  <si>
    <t>Investment</t>
  </si>
  <si>
    <t>Tax</t>
  </si>
  <si>
    <t>Ku</t>
  </si>
  <si>
    <t>APV</t>
  </si>
  <si>
    <t>Tax shield</t>
  </si>
  <si>
    <t>Debt service</t>
  </si>
  <si>
    <t>Loan repayment</t>
  </si>
  <si>
    <t>Debt in the end of the period</t>
  </si>
  <si>
    <t>Adjusted present value</t>
  </si>
  <si>
    <t>Equity cash flow</t>
  </si>
  <si>
    <t>Financial expenses</t>
  </si>
  <si>
    <t>Profit before taxes</t>
  </si>
  <si>
    <t>Income taxes</t>
  </si>
  <si>
    <t>Net profit</t>
  </si>
  <si>
    <t>WCR Investment</t>
  </si>
  <si>
    <t>Initial Capex</t>
  </si>
  <si>
    <t>Terminal value after taxes</t>
  </si>
  <si>
    <t>Borrowing loan</t>
  </si>
  <si>
    <t>Repayment of loan</t>
  </si>
  <si>
    <t>PV of future levered cash flows</t>
  </si>
  <si>
    <t>% Capital</t>
  </si>
  <si>
    <t>Financing</t>
  </si>
  <si>
    <t>Cost</t>
  </si>
  <si>
    <t>Weighted</t>
  </si>
  <si>
    <t>Debt service schedule</t>
  </si>
  <si>
    <t>Ak,n</t>
  </si>
  <si>
    <t>Equity Method</t>
  </si>
  <si>
    <t>PORTUGUESE WAY</t>
  </si>
  <si>
    <t>UK WAY</t>
  </si>
  <si>
    <t>Nominal selling price per unit</t>
  </si>
  <si>
    <t>Interest payment</t>
  </si>
  <si>
    <t>PV of project before financing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</si>
</sst>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#,##0\ &quot;€&quot;"/>
    <numFmt numFmtId="166" formatCode="0.0%"/>
    <numFmt numFmtId="167" formatCode="#,##0.000"/>
    <numFmt numFmtId="169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3" fontId="0" fillId="0" borderId="0" xfId="0" applyNumberFormat="1"/>
    <xf numFmtId="0" fontId="3" fillId="0" borderId="0" xfId="0" applyFont="1" applyFill="1"/>
    <xf numFmtId="0" fontId="0" fillId="0" borderId="1" xfId="0" applyBorder="1"/>
    <xf numFmtId="9" fontId="0" fillId="2" borderId="1" xfId="0" applyNumberFormat="1" applyFill="1" applyBorder="1"/>
    <xf numFmtId="0" fontId="1" fillId="0" borderId="1" xfId="0" applyFont="1" applyBorder="1"/>
    <xf numFmtId="3" fontId="1" fillId="0" borderId="1" xfId="0" applyNumberFormat="1" applyFont="1" applyBorder="1"/>
    <xf numFmtId="164" fontId="1" fillId="0" borderId="1" xfId="1" applyNumberFormat="1" applyFont="1" applyBorder="1"/>
    <xf numFmtId="164" fontId="0" fillId="0" borderId="1" xfId="1" applyNumberFormat="1" applyFont="1" applyBorder="1"/>
    <xf numFmtId="165" fontId="1" fillId="0" borderId="1" xfId="1" applyNumberFormat="1" applyFont="1" applyBorder="1"/>
    <xf numFmtId="165" fontId="0" fillId="0" borderId="1" xfId="1" applyNumberFormat="1" applyFont="1" applyBorder="1"/>
    <xf numFmtId="9" fontId="0" fillId="0" borderId="0" xfId="2" applyFont="1"/>
    <xf numFmtId="3" fontId="0" fillId="3" borderId="1" xfId="0" applyNumberFormat="1" applyFill="1" applyBorder="1"/>
    <xf numFmtId="9" fontId="0" fillId="3" borderId="1" xfId="0" applyNumberFormat="1" applyFill="1" applyBorder="1"/>
    <xf numFmtId="164" fontId="0" fillId="3" borderId="1" xfId="1" applyNumberFormat="1" applyFont="1" applyFill="1" applyBorder="1"/>
    <xf numFmtId="165" fontId="0" fillId="3" borderId="1" xfId="1" applyNumberFormat="1" applyFont="1" applyFill="1" applyBorder="1"/>
    <xf numFmtId="165" fontId="0" fillId="0" borderId="1" xfId="0" applyNumberFormat="1" applyBorder="1"/>
    <xf numFmtId="165" fontId="0" fillId="0" borderId="0" xfId="0" applyNumberFormat="1"/>
    <xf numFmtId="165" fontId="0" fillId="3" borderId="2" xfId="1" applyNumberFormat="1" applyFont="1" applyFill="1" applyBorder="1"/>
    <xf numFmtId="165" fontId="1" fillId="0" borderId="0" xfId="1" applyNumberFormat="1" applyFont="1" applyBorder="1"/>
    <xf numFmtId="165" fontId="1" fillId="0" borderId="1" xfId="0" applyNumberFormat="1" applyFont="1" applyBorder="1"/>
    <xf numFmtId="166" fontId="0" fillId="3" borderId="1" xfId="2" applyNumberFormat="1" applyFont="1" applyFill="1" applyBorder="1"/>
    <xf numFmtId="167" fontId="0" fillId="0" borderId="1" xfId="1" applyNumberFormat="1" applyFont="1" applyBorder="1"/>
    <xf numFmtId="10" fontId="0" fillId="0" borderId="0" xfId="0" applyNumberFormat="1"/>
    <xf numFmtId="10" fontId="0" fillId="0" borderId="1" xfId="2" applyNumberFormat="1" applyFont="1" applyBorder="1"/>
    <xf numFmtId="166" fontId="0" fillId="0" borderId="1" xfId="0" applyNumberFormat="1" applyBorder="1"/>
    <xf numFmtId="9" fontId="0" fillId="0" borderId="1" xfId="0" applyNumberFormat="1" applyBorder="1"/>
    <xf numFmtId="10" fontId="0" fillId="0" borderId="1" xfId="0" applyNumberFormat="1" applyBorder="1"/>
    <xf numFmtId="0" fontId="0" fillId="0" borderId="0" xfId="0" applyBorder="1"/>
    <xf numFmtId="165" fontId="0" fillId="0" borderId="0" xfId="0" applyNumberFormat="1" applyBorder="1"/>
    <xf numFmtId="0" fontId="0" fillId="0" borderId="0" xfId="0" applyFill="1" applyBorder="1"/>
    <xf numFmtId="167" fontId="0" fillId="0" borderId="0" xfId="0" applyNumberFormat="1" applyBorder="1"/>
    <xf numFmtId="6" fontId="0" fillId="0" borderId="1" xfId="0" applyNumberFormat="1" applyBorder="1"/>
    <xf numFmtId="166" fontId="0" fillId="0" borderId="1" xfId="2" applyNumberFormat="1" applyFont="1" applyBorder="1"/>
    <xf numFmtId="169" fontId="0" fillId="0" borderId="1" xfId="0" applyNumberFormat="1" applyBorder="1"/>
    <xf numFmtId="10" fontId="0" fillId="0" borderId="0" xfId="2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19</xdr:row>
          <xdr:rowOff>139700</xdr:rowOff>
        </xdr:from>
        <xdr:to>
          <xdr:col>0</xdr:col>
          <xdr:colOff>1358900</xdr:colOff>
          <xdr:row>22</xdr:row>
          <xdr:rowOff>107949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656621</xdr:colOff>
      <xdr:row>17</xdr:row>
      <xdr:rowOff>13595</xdr:rowOff>
    </xdr:from>
    <xdr:to>
      <xdr:col>6</xdr:col>
      <xdr:colOff>282379</xdr:colOff>
      <xdr:row>22</xdr:row>
      <xdr:rowOff>76480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7"/>
            <xdr:cNvSpPr txBox="1"/>
          </xdr:nvSpPr>
          <xdr:spPr>
            <a:xfrm>
              <a:off x="2421376" y="3126264"/>
              <a:ext cx="2804653" cy="97837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PT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PT" b="0" i="1">
                            <a:latin typeface="Cambria Math" panose="02040503050406030204" pitchFamily="18" charset="0"/>
                          </a:rPr>
                          <m:t>𝐴</m:t>
                        </m:r>
                      </m:e>
                      <m:sub>
                        <m:r>
                          <a:rPr lang="pt-PT" b="0" i="1">
                            <a:latin typeface="Cambria Math" panose="02040503050406030204" pitchFamily="18" charset="0"/>
                          </a:rPr>
                          <m:t>𝑘</m:t>
                        </m:r>
                        <m:r>
                          <a:rPr lang="pt-PT" b="0" i="1">
                            <a:latin typeface="Cambria Math" panose="02040503050406030204" pitchFamily="18" charset="0"/>
                          </a:rPr>
                          <m:t>;</m:t>
                        </m:r>
                        <m:r>
                          <a:rPr lang="pt-PT" b="0" i="1">
                            <a:latin typeface="Cambria Math" panose="02040503050406030204" pitchFamily="18" charset="0"/>
                          </a:rPr>
                          <m:t>𝑛</m:t>
                        </m:r>
                      </m:sub>
                    </m:sSub>
                    <m:r>
                      <a:rPr lang="pt-PT" b="0" i="1">
                        <a:latin typeface="Cambria Math" panose="02040503050406030204" pitchFamily="18" charset="0"/>
                      </a:rPr>
                      <m:t> =</m:t>
                    </m:r>
                    <m:f>
                      <m:fPr>
                        <m:ctrlPr>
                          <a:rPr lang="pt-PT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PT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pt-PT" b="0" i="1">
                            <a:latin typeface="Cambria Math" panose="02040503050406030204" pitchFamily="18" charset="0"/>
                          </a:rPr>
                          <m:t>𝑘</m:t>
                        </m:r>
                      </m:den>
                    </m:f>
                    <m:d>
                      <m:dPr>
                        <m:begChr m:val="["/>
                        <m:endChr m:val="]"/>
                        <m:ctrlPr>
                          <a:rPr lang="pt-PT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pt-PT" b="0" i="1">
                            <a:latin typeface="Cambria Math" panose="02040503050406030204" pitchFamily="18" charset="0"/>
                          </a:rPr>
                          <m:t>1−</m:t>
                        </m:r>
                        <m:f>
                          <m:fPr>
                            <m:ctrlPr>
                              <a:rPr lang="pt-PT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pt-PT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sSup>
                              <m:sSupPr>
                                <m:ctrlPr>
                                  <a:rPr lang="pt-PT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pt-PT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r>
                                      <a:rPr lang="pt-PT" b="0" i="1">
                                        <a:latin typeface="Cambria Math" panose="02040503050406030204" pitchFamily="18" charset="0"/>
                                      </a:rPr>
                                      <m:t>1+</m:t>
                                    </m:r>
                                    <m:r>
                                      <a:rPr lang="pt-PT" b="0" i="1">
                                        <a:latin typeface="Cambria Math" panose="02040503050406030204" pitchFamily="18" charset="0"/>
                                      </a:rPr>
                                      <m:t>𝑘</m:t>
                                    </m:r>
                                  </m:e>
                                </m:d>
                              </m:e>
                              <m:sup>
                                <m:r>
                                  <a:rPr lang="pt-PT" b="0" i="1">
                                    <a:latin typeface="Cambria Math" panose="02040503050406030204" pitchFamily="18" charset="0"/>
                                  </a:rPr>
                                  <m:t>𝑛</m:t>
                                </m:r>
                              </m:sup>
                            </m:sSup>
                          </m:den>
                        </m:f>
                      </m:e>
                    </m:d>
                  </m:oMath>
                </m:oMathPara>
              </a14:m>
              <a:endParaRPr lang="en-US"/>
            </a:p>
          </xdr:txBody>
        </xdr:sp>
      </mc:Choice>
      <mc:Fallback>
        <xdr:sp macro="" textlink="">
          <xdr:nvSpPr>
            <xdr:cNvPr id="3" name="TextBox 7"/>
            <xdr:cNvSpPr txBox="1"/>
          </xdr:nvSpPr>
          <xdr:spPr>
            <a:xfrm>
              <a:off x="2421376" y="3126264"/>
              <a:ext cx="2804653" cy="97837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/>
              <a:r>
                <a:rPr lang="pt-PT" b="0" i="0">
                  <a:latin typeface="Cambria Math" panose="02040503050406030204" pitchFamily="18" charset="0"/>
                </a:rPr>
                <a:t>𝐴_(𝑘;𝑛)  =1/𝑘 [1−1/(1+𝑘)^𝑛 ]</a:t>
              </a:r>
              <a:endParaRPr lang="en-US"/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topLeftCell="A31" zoomScale="160" zoomScaleNormal="160" workbookViewId="0">
      <selection activeCell="A33" sqref="A33"/>
    </sheetView>
  </sheetViews>
  <sheetFormatPr defaultRowHeight="14.5" x14ac:dyDescent="0.35"/>
  <cols>
    <col min="1" max="1" width="30.26953125" bestFit="1" customWidth="1"/>
    <col min="2" max="2" width="11.90625" customWidth="1"/>
    <col min="3" max="5" width="14.54296875" bestFit="1" customWidth="1"/>
    <col min="6" max="6" width="14.453125" bestFit="1" customWidth="1"/>
    <col min="7" max="7" width="9" bestFit="1" customWidth="1"/>
  </cols>
  <sheetData>
    <row r="1" spans="1:6" x14ac:dyDescent="0.35">
      <c r="A1" s="1" t="s">
        <v>67</v>
      </c>
    </row>
    <row r="2" spans="1:6" x14ac:dyDescent="0.35">
      <c r="A2" s="3"/>
      <c r="B2" s="3">
        <v>0</v>
      </c>
      <c r="C2" s="3">
        <v>1</v>
      </c>
      <c r="D2" s="3">
        <v>2</v>
      </c>
      <c r="E2" s="3">
        <v>3</v>
      </c>
      <c r="F2" s="3">
        <v>4</v>
      </c>
    </row>
    <row r="3" spans="1:6" x14ac:dyDescent="0.35">
      <c r="A3" s="4" t="s">
        <v>4</v>
      </c>
      <c r="B3" s="4"/>
      <c r="C3" s="13">
        <v>200000</v>
      </c>
      <c r="D3" s="13">
        <v>800000</v>
      </c>
      <c r="E3" s="13">
        <v>900000</v>
      </c>
      <c r="F3" s="13">
        <v>400000</v>
      </c>
    </row>
    <row r="4" spans="1:6" x14ac:dyDescent="0.35">
      <c r="A4" s="4" t="s">
        <v>5</v>
      </c>
      <c r="B4" s="4"/>
      <c r="C4" s="16">
        <v>15</v>
      </c>
      <c r="D4" s="16">
        <v>18</v>
      </c>
      <c r="E4" s="16">
        <v>22</v>
      </c>
      <c r="F4" s="16">
        <v>22</v>
      </c>
    </row>
    <row r="5" spans="1:6" x14ac:dyDescent="0.35">
      <c r="A5" s="4" t="s">
        <v>69</v>
      </c>
      <c r="B5" s="4"/>
      <c r="C5" s="35">
        <f>+C4*(1+$B$6)^C2</f>
        <v>15.600000000000001</v>
      </c>
      <c r="D5" s="35">
        <f t="shared" ref="D5:F5" si="0">+D4*(1+$B$6)^D2</f>
        <v>19.468800000000002</v>
      </c>
      <c r="E5" s="35">
        <f t="shared" si="0"/>
        <v>24.747008000000001</v>
      </c>
      <c r="F5" s="35">
        <f t="shared" si="0"/>
        <v>25.736888320000006</v>
      </c>
    </row>
    <row r="6" spans="1:6" x14ac:dyDescent="0.35">
      <c r="A6" s="4" t="s">
        <v>6</v>
      </c>
      <c r="B6" s="14">
        <v>0.04</v>
      </c>
      <c r="C6" s="17"/>
      <c r="D6" s="17"/>
      <c r="E6" s="17"/>
      <c r="F6" s="17"/>
    </row>
    <row r="7" spans="1:6" x14ac:dyDescent="0.35">
      <c r="A7" s="6" t="s">
        <v>7</v>
      </c>
      <c r="B7" s="6"/>
      <c r="C7" s="10">
        <f>+C5*C3</f>
        <v>3120000.0000000005</v>
      </c>
      <c r="D7" s="10">
        <f t="shared" ref="D7:F7" si="1">+D5*D3</f>
        <v>15575040.000000002</v>
      </c>
      <c r="E7" s="10">
        <f t="shared" si="1"/>
        <v>22272307.199999999</v>
      </c>
      <c r="F7" s="10">
        <f t="shared" si="1"/>
        <v>10294755.328000002</v>
      </c>
    </row>
    <row r="8" spans="1:6" x14ac:dyDescent="0.35">
      <c r="C8" s="18"/>
      <c r="D8" s="18"/>
      <c r="E8" s="18"/>
      <c r="F8" s="18"/>
    </row>
    <row r="9" spans="1:6" x14ac:dyDescent="0.35">
      <c r="A9" s="4" t="s">
        <v>8</v>
      </c>
      <c r="B9" s="4"/>
      <c r="C9" s="16">
        <v>9</v>
      </c>
      <c r="D9" s="16">
        <v>9</v>
      </c>
      <c r="E9" s="16">
        <v>9</v>
      </c>
      <c r="F9" s="16">
        <v>9</v>
      </c>
    </row>
    <row r="10" spans="1:6" x14ac:dyDescent="0.35">
      <c r="A10" s="4" t="s">
        <v>6</v>
      </c>
      <c r="B10" s="14">
        <v>0.05</v>
      </c>
      <c r="C10" s="17"/>
      <c r="D10" s="17"/>
      <c r="E10" s="17"/>
      <c r="F10" s="17"/>
    </row>
    <row r="11" spans="1:6" s="1" customFormat="1" x14ac:dyDescent="0.35">
      <c r="A11" s="6" t="s">
        <v>9</v>
      </c>
      <c r="B11" s="6"/>
      <c r="C11" s="10">
        <f>C3*C9*(1+$B$10)^C2</f>
        <v>1890000</v>
      </c>
      <c r="D11" s="10">
        <f t="shared" ref="D11:F11" si="2">D3*D9*(1+$B$10)^D2</f>
        <v>7938000</v>
      </c>
      <c r="E11" s="10">
        <f t="shared" si="2"/>
        <v>9376762.5000000019</v>
      </c>
      <c r="F11" s="10">
        <f t="shared" si="2"/>
        <v>4375822.5</v>
      </c>
    </row>
    <row r="12" spans="1:6" x14ac:dyDescent="0.35">
      <c r="C12" s="18"/>
      <c r="D12" s="18"/>
      <c r="E12" s="18"/>
      <c r="F12" s="18"/>
    </row>
    <row r="13" spans="1:6" x14ac:dyDescent="0.35">
      <c r="A13" s="4" t="s">
        <v>18</v>
      </c>
      <c r="B13" s="15">
        <v>500000</v>
      </c>
      <c r="C13" s="17"/>
      <c r="D13" s="17"/>
      <c r="E13" s="17"/>
      <c r="F13" s="17"/>
    </row>
    <row r="14" spans="1:6" x14ac:dyDescent="0.35">
      <c r="A14" s="4" t="s">
        <v>6</v>
      </c>
      <c r="B14" s="14">
        <v>0.08</v>
      </c>
      <c r="C14" s="17"/>
      <c r="D14" s="17"/>
      <c r="E14" s="17"/>
      <c r="F14" s="17"/>
    </row>
    <row r="15" spans="1:6" x14ac:dyDescent="0.35">
      <c r="A15" s="6" t="s">
        <v>17</v>
      </c>
      <c r="B15" s="6"/>
      <c r="C15" s="10">
        <f>$B$13*(1+$B$14)^C2</f>
        <v>540000</v>
      </c>
      <c r="D15" s="10">
        <f t="shared" ref="D15:F15" si="3">$B$13*(1+$B$14)^D2</f>
        <v>583200</v>
      </c>
      <c r="E15" s="10">
        <f t="shared" si="3"/>
        <v>629856.00000000012</v>
      </c>
      <c r="F15" s="10">
        <f t="shared" si="3"/>
        <v>680244.4800000001</v>
      </c>
    </row>
    <row r="16" spans="1:6" x14ac:dyDescent="0.35">
      <c r="B16" s="2"/>
      <c r="C16" s="18"/>
      <c r="D16" s="18"/>
      <c r="E16" s="18"/>
      <c r="F16" s="18"/>
    </row>
    <row r="17" spans="1:6" x14ac:dyDescent="0.35">
      <c r="A17" s="4" t="s">
        <v>12</v>
      </c>
      <c r="B17" s="14">
        <v>0.25</v>
      </c>
      <c r="C17" s="17"/>
      <c r="D17" s="17"/>
      <c r="E17" s="17"/>
      <c r="F17" s="17"/>
    </row>
    <row r="18" spans="1:6" x14ac:dyDescent="0.35">
      <c r="A18" s="4" t="s">
        <v>13</v>
      </c>
      <c r="B18" s="9"/>
      <c r="C18" s="11">
        <f>B20</f>
        <v>2500000</v>
      </c>
      <c r="D18" s="11">
        <f>C20</f>
        <v>1875000</v>
      </c>
      <c r="E18" s="11">
        <f t="shared" ref="E18:F18" si="4">D20</f>
        <v>1250000</v>
      </c>
      <c r="F18" s="11">
        <f t="shared" si="4"/>
        <v>625000</v>
      </c>
    </row>
    <row r="19" spans="1:6" s="1" customFormat="1" x14ac:dyDescent="0.35">
      <c r="A19" s="6" t="s">
        <v>19</v>
      </c>
      <c r="B19" s="8"/>
      <c r="C19" s="10">
        <f>+B17*B20</f>
        <v>625000</v>
      </c>
      <c r="D19" s="10">
        <f>+C19</f>
        <v>625000</v>
      </c>
      <c r="E19" s="10">
        <f t="shared" ref="E19:F19" si="5">+D19</f>
        <v>625000</v>
      </c>
      <c r="F19" s="10">
        <f t="shared" si="5"/>
        <v>625000</v>
      </c>
    </row>
    <row r="20" spans="1:6" x14ac:dyDescent="0.35">
      <c r="A20" s="4" t="s">
        <v>14</v>
      </c>
      <c r="B20" s="15">
        <v>2500000</v>
      </c>
      <c r="C20" s="11">
        <f>C18-C19</f>
        <v>1875000</v>
      </c>
      <c r="D20" s="11">
        <f>D18-D19</f>
        <v>1250000</v>
      </c>
      <c r="E20" s="11">
        <f t="shared" ref="E20:F20" si="6">E18-E19</f>
        <v>625000</v>
      </c>
      <c r="F20" s="11">
        <f t="shared" si="6"/>
        <v>0</v>
      </c>
    </row>
    <row r="21" spans="1:6" x14ac:dyDescent="0.35">
      <c r="A21" s="4" t="s">
        <v>32</v>
      </c>
      <c r="B21" s="9"/>
      <c r="C21" s="11"/>
      <c r="D21" s="11"/>
      <c r="E21" s="11"/>
      <c r="F21" s="19">
        <v>125000</v>
      </c>
    </row>
    <row r="22" spans="1:6" x14ac:dyDescent="0.35">
      <c r="B22" s="2"/>
      <c r="C22" s="36"/>
      <c r="D22" s="18"/>
      <c r="E22" s="18"/>
      <c r="F22" s="18"/>
    </row>
    <row r="23" spans="1:6" x14ac:dyDescent="0.35">
      <c r="A23" s="4" t="s">
        <v>10</v>
      </c>
      <c r="B23" s="16">
        <v>1500000</v>
      </c>
      <c r="C23" s="11">
        <f>$B$23*(1+$C$24)^C2</f>
        <v>1590000</v>
      </c>
      <c r="D23" s="11">
        <f t="shared" ref="D23:E23" si="7">$B$23*(1+$C$24)^D2</f>
        <v>1685400.0000000002</v>
      </c>
      <c r="E23" s="11">
        <f t="shared" si="7"/>
        <v>1786524.0000000005</v>
      </c>
      <c r="F23" s="16">
        <v>0</v>
      </c>
    </row>
    <row r="24" spans="1:6" x14ac:dyDescent="0.35">
      <c r="A24" s="4" t="s">
        <v>6</v>
      </c>
      <c r="B24" s="4"/>
      <c r="C24" s="14">
        <v>0.06</v>
      </c>
      <c r="D24" s="17"/>
      <c r="E24" s="17"/>
      <c r="F24" s="17"/>
    </row>
    <row r="25" spans="1:6" x14ac:dyDescent="0.35">
      <c r="A25" s="6" t="s">
        <v>11</v>
      </c>
      <c r="B25" s="10">
        <f>+B23</f>
        <v>1500000</v>
      </c>
      <c r="C25" s="10">
        <f>C23-B23</f>
        <v>90000</v>
      </c>
      <c r="D25" s="10">
        <f>D23-C23</f>
        <v>95400.000000000233</v>
      </c>
      <c r="E25" s="10">
        <f t="shared" ref="E25:F25" si="8">E23-D23</f>
        <v>101124.00000000023</v>
      </c>
      <c r="F25" s="10">
        <f t="shared" si="8"/>
        <v>-1786524.0000000005</v>
      </c>
    </row>
    <row r="26" spans="1:6" x14ac:dyDescent="0.35">
      <c r="C26" s="2"/>
      <c r="D26" s="2"/>
      <c r="E26" s="2"/>
      <c r="F26" s="2"/>
    </row>
    <row r="27" spans="1:6" x14ac:dyDescent="0.35">
      <c r="A27" s="1" t="s">
        <v>25</v>
      </c>
      <c r="C27" s="2"/>
      <c r="D27" s="2"/>
      <c r="E27" s="2"/>
      <c r="F27" s="2"/>
    </row>
    <row r="28" spans="1:6" x14ac:dyDescent="0.35">
      <c r="A28" s="4" t="s">
        <v>16</v>
      </c>
      <c r="B28" s="7">
        <f>+B2</f>
        <v>0</v>
      </c>
      <c r="C28" s="7">
        <f>+C2</f>
        <v>1</v>
      </c>
      <c r="D28" s="7">
        <f>+D2</f>
        <v>2</v>
      </c>
      <c r="E28" s="7">
        <f>+E2</f>
        <v>3</v>
      </c>
      <c r="F28" s="7">
        <f>+F2</f>
        <v>4</v>
      </c>
    </row>
    <row r="29" spans="1:6" x14ac:dyDescent="0.35">
      <c r="A29" s="4" t="s">
        <v>7</v>
      </c>
      <c r="B29" s="4"/>
      <c r="C29" s="11">
        <f>C7/1000</f>
        <v>3120.0000000000005</v>
      </c>
      <c r="D29" s="11">
        <f>D7/1000</f>
        <v>15575.040000000003</v>
      </c>
      <c r="E29" s="11">
        <f>E7/1000</f>
        <v>22272.307199999999</v>
      </c>
      <c r="F29" s="11">
        <f>F7/1000</f>
        <v>10294.755328000001</v>
      </c>
    </row>
    <row r="30" spans="1:6" x14ac:dyDescent="0.35">
      <c r="A30" s="4" t="s">
        <v>15</v>
      </c>
      <c r="B30" s="4"/>
      <c r="C30" s="11">
        <f>-C11/1000</f>
        <v>-1890</v>
      </c>
      <c r="D30" s="11">
        <f>-D11/1000</f>
        <v>-7938</v>
      </c>
      <c r="E30" s="11">
        <f>-E11/1000</f>
        <v>-9376.7625000000025</v>
      </c>
      <c r="F30" s="11">
        <f>-F11/1000</f>
        <v>-4375.8225000000002</v>
      </c>
    </row>
    <row r="31" spans="1:6" x14ac:dyDescent="0.35">
      <c r="A31" s="4" t="s">
        <v>17</v>
      </c>
      <c r="B31" s="4"/>
      <c r="C31" s="11">
        <f>-C15/1000</f>
        <v>-540</v>
      </c>
      <c r="D31" s="11">
        <f>-D15/1000</f>
        <v>-583.20000000000005</v>
      </c>
      <c r="E31" s="11">
        <f>-E15/1000</f>
        <v>-629.85600000000011</v>
      </c>
      <c r="F31" s="11">
        <f>-F15/1000</f>
        <v>-680.24448000000007</v>
      </c>
    </row>
    <row r="32" spans="1:6" x14ac:dyDescent="0.35">
      <c r="A32" s="4" t="s">
        <v>20</v>
      </c>
      <c r="B32" s="4"/>
      <c r="C32" s="11">
        <f>-C19/1000</f>
        <v>-625</v>
      </c>
      <c r="D32" s="11">
        <f>-D19/1000</f>
        <v>-625</v>
      </c>
      <c r="E32" s="11">
        <f>-E19/1000</f>
        <v>-625</v>
      </c>
      <c r="F32" s="11">
        <f>-F19/1000</f>
        <v>-625</v>
      </c>
    </row>
    <row r="33" spans="1:6" s="1" customFormat="1" x14ac:dyDescent="0.35">
      <c r="A33" s="6" t="s">
        <v>21</v>
      </c>
      <c r="B33" s="6"/>
      <c r="C33" s="10">
        <f>SUM(C29:C32)</f>
        <v>65.000000000000455</v>
      </c>
      <c r="D33" s="10">
        <f>SUM(D29:D32)</f>
        <v>6428.8400000000029</v>
      </c>
      <c r="E33" s="10">
        <f>SUM(E29:E32)</f>
        <v>11640.688699999997</v>
      </c>
      <c r="F33" s="10">
        <f>SUM(F29:F32)</f>
        <v>4613.6883480000006</v>
      </c>
    </row>
    <row r="34" spans="1:6" x14ac:dyDescent="0.35">
      <c r="A34" s="4" t="s">
        <v>22</v>
      </c>
      <c r="B34" s="5">
        <v>0.2</v>
      </c>
      <c r="C34" s="11">
        <f>-C33*$B$34</f>
        <v>-13.000000000000092</v>
      </c>
      <c r="D34" s="11">
        <f t="shared" ref="D34:F34" si="9">-D33*$B$34</f>
        <v>-1285.7680000000007</v>
      </c>
      <c r="E34" s="11">
        <f t="shared" si="9"/>
        <v>-2328.1377399999997</v>
      </c>
      <c r="F34" s="11">
        <f t="shared" si="9"/>
        <v>-922.73766960000012</v>
      </c>
    </row>
    <row r="35" spans="1:6" s="1" customFormat="1" x14ac:dyDescent="0.35">
      <c r="A35" s="6" t="s">
        <v>0</v>
      </c>
      <c r="B35" s="11"/>
      <c r="C35" s="10">
        <f>SUM(C33:C34)</f>
        <v>52.000000000000362</v>
      </c>
      <c r="D35" s="10">
        <f>SUM(D33:D34)</f>
        <v>5143.0720000000019</v>
      </c>
      <c r="E35" s="10">
        <f>SUM(E33:E34)</f>
        <v>9312.5509599999968</v>
      </c>
      <c r="F35" s="10">
        <f>SUM(F33:F34)</f>
        <v>3690.9506784000005</v>
      </c>
    </row>
    <row r="36" spans="1:6" x14ac:dyDescent="0.35">
      <c r="A36" s="4" t="s">
        <v>20</v>
      </c>
      <c r="B36" s="11"/>
      <c r="C36" s="11">
        <f>-C32</f>
        <v>625</v>
      </c>
      <c r="D36" s="11">
        <f>-D32</f>
        <v>625</v>
      </c>
      <c r="E36" s="11">
        <f>-E32</f>
        <v>625</v>
      </c>
      <c r="F36" s="11">
        <f>-F32</f>
        <v>625</v>
      </c>
    </row>
    <row r="37" spans="1:6" x14ac:dyDescent="0.35">
      <c r="A37" s="6" t="s">
        <v>23</v>
      </c>
      <c r="B37" s="11">
        <f>-B25/1000</f>
        <v>-1500</v>
      </c>
      <c r="C37" s="11">
        <f>-C25/1000</f>
        <v>-90</v>
      </c>
      <c r="D37" s="11">
        <f>-D25/1000</f>
        <v>-95.400000000000233</v>
      </c>
      <c r="E37" s="11">
        <f>-E25/1000</f>
        <v>-101.12400000000024</v>
      </c>
      <c r="F37" s="11">
        <f>-F25/1000</f>
        <v>1786.5240000000006</v>
      </c>
    </row>
    <row r="38" spans="1:6" x14ac:dyDescent="0.35">
      <c r="A38" s="4" t="s">
        <v>34</v>
      </c>
      <c r="B38" s="11">
        <f>-B20/1000</f>
        <v>-2500</v>
      </c>
      <c r="C38" s="11"/>
      <c r="D38" s="11"/>
      <c r="E38" s="11"/>
      <c r="F38" s="11"/>
    </row>
    <row r="39" spans="1:6" x14ac:dyDescent="0.35">
      <c r="A39" s="4" t="s">
        <v>31</v>
      </c>
      <c r="B39" s="11"/>
      <c r="C39" s="11"/>
      <c r="D39" s="11"/>
      <c r="E39" s="11"/>
      <c r="F39" s="11">
        <f>+F21/1000*(1-B34)</f>
        <v>100</v>
      </c>
    </row>
    <row r="40" spans="1:6" x14ac:dyDescent="0.35">
      <c r="A40" s="6" t="s">
        <v>24</v>
      </c>
      <c r="B40" s="11">
        <f t="shared" ref="B40" si="10">SUM(B35:B39)</f>
        <v>-4000</v>
      </c>
      <c r="C40" s="11">
        <f>SUM(C35:C39)</f>
        <v>587.00000000000034</v>
      </c>
      <c r="D40" s="11">
        <f t="shared" ref="D40:F40" si="11">SUM(D35:D39)</f>
        <v>5672.6720000000014</v>
      </c>
      <c r="E40" s="11">
        <f t="shared" si="11"/>
        <v>9836.4269599999971</v>
      </c>
      <c r="F40" s="11">
        <f t="shared" si="11"/>
        <v>6202.4746784000008</v>
      </c>
    </row>
    <row r="41" spans="1:6" x14ac:dyDescent="0.35">
      <c r="A41" s="4" t="s">
        <v>1</v>
      </c>
      <c r="B41" s="5">
        <v>0.12</v>
      </c>
      <c r="C41" s="11"/>
      <c r="D41" s="11"/>
      <c r="E41" s="11"/>
      <c r="F41" s="11"/>
    </row>
    <row r="42" spans="1:6" s="1" customFormat="1" x14ac:dyDescent="0.35">
      <c r="A42" s="6" t="s">
        <v>37</v>
      </c>
      <c r="B42" s="10">
        <f>B40/(1+$B$41)^B2</f>
        <v>-4000</v>
      </c>
      <c r="C42" s="10"/>
      <c r="D42" s="10"/>
      <c r="E42" s="10"/>
      <c r="F42" s="10"/>
    </row>
    <row r="43" spans="1:6" s="1" customFormat="1" x14ac:dyDescent="0.35">
      <c r="A43" s="6" t="s">
        <v>33</v>
      </c>
      <c r="B43" s="10">
        <f>NPV(B41,C40:F40)</f>
        <v>15989.485738770949</v>
      </c>
      <c r="C43" s="20"/>
      <c r="D43" s="20"/>
      <c r="E43" s="20"/>
      <c r="F43" s="20"/>
    </row>
    <row r="44" spans="1:6" x14ac:dyDescent="0.35">
      <c r="A44" s="6" t="s">
        <v>3</v>
      </c>
      <c r="B44" s="21">
        <f>+B42+B43</f>
        <v>11989.485738770949</v>
      </c>
    </row>
  </sheetData>
  <pageMargins left="0.7" right="0.7" top="0.75" bottom="0.75" header="0.3" footer="0.3"/>
  <pageSetup orientation="landscape" r:id="rId1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topLeftCell="A31" zoomScale="104" zoomScaleNormal="104" workbookViewId="0">
      <selection activeCell="B51" sqref="B51"/>
    </sheetView>
  </sheetViews>
  <sheetFormatPr defaultRowHeight="14.5" x14ac:dyDescent="0.35"/>
  <cols>
    <col min="1" max="1" width="30.26953125" bestFit="1" customWidth="1"/>
    <col min="2" max="2" width="11.90625" customWidth="1"/>
    <col min="3" max="5" width="14.54296875" bestFit="1" customWidth="1"/>
    <col min="6" max="6" width="14.453125" bestFit="1" customWidth="1"/>
    <col min="7" max="7" width="9" bestFit="1" customWidth="1"/>
  </cols>
  <sheetData>
    <row r="1" spans="1:6" x14ac:dyDescent="0.35">
      <c r="A1" s="1" t="s">
        <v>68</v>
      </c>
    </row>
    <row r="2" spans="1:6" x14ac:dyDescent="0.35">
      <c r="A2" s="3"/>
      <c r="B2" s="3">
        <v>0</v>
      </c>
      <c r="C2" s="3">
        <v>1</v>
      </c>
      <c r="D2" s="3">
        <v>2</v>
      </c>
      <c r="E2" s="3">
        <v>3</v>
      </c>
      <c r="F2" s="3">
        <v>4</v>
      </c>
    </row>
    <row r="3" spans="1:6" x14ac:dyDescent="0.35">
      <c r="A3" s="4" t="s">
        <v>4</v>
      </c>
      <c r="B3" s="4"/>
      <c r="C3" s="13">
        <v>200000</v>
      </c>
      <c r="D3" s="13">
        <v>800000</v>
      </c>
      <c r="E3" s="13">
        <v>900000</v>
      </c>
      <c r="F3" s="13">
        <v>400000</v>
      </c>
    </row>
    <row r="4" spans="1:6" x14ac:dyDescent="0.35">
      <c r="A4" s="4" t="s">
        <v>5</v>
      </c>
      <c r="B4" s="4"/>
      <c r="C4" s="16">
        <v>15</v>
      </c>
      <c r="D4" s="16">
        <v>18</v>
      </c>
      <c r="E4" s="16">
        <v>22</v>
      </c>
      <c r="F4" s="16">
        <v>22</v>
      </c>
    </row>
    <row r="5" spans="1:6" x14ac:dyDescent="0.35">
      <c r="A5" s="4" t="s">
        <v>6</v>
      </c>
      <c r="B5" s="14">
        <v>0.04</v>
      </c>
      <c r="C5" s="17"/>
      <c r="D5" s="17"/>
      <c r="E5" s="17"/>
      <c r="F5" s="17"/>
    </row>
    <row r="6" spans="1:6" x14ac:dyDescent="0.35">
      <c r="A6" s="6" t="s">
        <v>7</v>
      </c>
      <c r="B6" s="6"/>
      <c r="C6" s="10">
        <f>C3*C4*(1+$B$5)^C2</f>
        <v>3120000</v>
      </c>
      <c r="D6" s="10">
        <f t="shared" ref="D6:F6" si="0">D3*D4*(1+$B$5)^D2</f>
        <v>15575040.000000002</v>
      </c>
      <c r="E6" s="10">
        <f t="shared" si="0"/>
        <v>22272307.200000003</v>
      </c>
      <c r="F6" s="10">
        <f t="shared" si="0"/>
        <v>10294755.328000002</v>
      </c>
    </row>
    <row r="7" spans="1:6" x14ac:dyDescent="0.35">
      <c r="C7" s="18"/>
      <c r="D7" s="18"/>
      <c r="E7" s="18"/>
      <c r="F7" s="18"/>
    </row>
    <row r="8" spans="1:6" x14ac:dyDescent="0.35">
      <c r="A8" s="4" t="s">
        <v>8</v>
      </c>
      <c r="B8" s="4"/>
      <c r="C8" s="16">
        <v>9</v>
      </c>
      <c r="D8" s="16">
        <v>9</v>
      </c>
      <c r="E8" s="16">
        <v>9</v>
      </c>
      <c r="F8" s="16">
        <v>9</v>
      </c>
    </row>
    <row r="9" spans="1:6" x14ac:dyDescent="0.35">
      <c r="A9" s="4" t="s">
        <v>6</v>
      </c>
      <c r="B9" s="14">
        <v>0.05</v>
      </c>
      <c r="C9" s="17"/>
      <c r="D9" s="17"/>
      <c r="E9" s="17"/>
      <c r="F9" s="17"/>
    </row>
    <row r="10" spans="1:6" s="1" customFormat="1" x14ac:dyDescent="0.35">
      <c r="A10" s="6" t="s">
        <v>9</v>
      </c>
      <c r="B10" s="6"/>
      <c r="C10" s="10">
        <f>C3*C8*(1+$B$9)^C2</f>
        <v>1890000</v>
      </c>
      <c r="D10" s="10">
        <f t="shared" ref="D10:F10" si="1">D3*D8*(1+$B$9)^D2</f>
        <v>7938000</v>
      </c>
      <c r="E10" s="10">
        <f t="shared" si="1"/>
        <v>9376762.5000000019</v>
      </c>
      <c r="F10" s="10">
        <f t="shared" si="1"/>
        <v>4375822.5</v>
      </c>
    </row>
    <row r="11" spans="1:6" x14ac:dyDescent="0.35">
      <c r="C11" s="18"/>
      <c r="D11" s="18"/>
      <c r="E11" s="18"/>
      <c r="F11" s="18"/>
    </row>
    <row r="12" spans="1:6" x14ac:dyDescent="0.35">
      <c r="A12" s="4" t="s">
        <v>18</v>
      </c>
      <c r="B12" s="15">
        <v>500000</v>
      </c>
      <c r="C12" s="17"/>
      <c r="D12" s="17"/>
      <c r="E12" s="17"/>
      <c r="F12" s="17"/>
    </row>
    <row r="13" spans="1:6" x14ac:dyDescent="0.35">
      <c r="A13" s="4" t="s">
        <v>6</v>
      </c>
      <c r="B13" s="14">
        <v>0.08</v>
      </c>
      <c r="C13" s="17"/>
      <c r="D13" s="17"/>
      <c r="E13" s="17"/>
      <c r="F13" s="17"/>
    </row>
    <row r="14" spans="1:6" x14ac:dyDescent="0.35">
      <c r="A14" s="6" t="s">
        <v>17</v>
      </c>
      <c r="B14" s="6"/>
      <c r="C14" s="10">
        <f>$B$12*(1+$B$13)^C2</f>
        <v>540000</v>
      </c>
      <c r="D14" s="10">
        <f t="shared" ref="D14:F14" si="2">$B$12*(1+$B$13)^D2</f>
        <v>583200</v>
      </c>
      <c r="E14" s="10">
        <f t="shared" si="2"/>
        <v>629856.00000000012</v>
      </c>
      <c r="F14" s="10">
        <f t="shared" si="2"/>
        <v>680244.4800000001</v>
      </c>
    </row>
    <row r="15" spans="1:6" x14ac:dyDescent="0.35">
      <c r="B15" s="2"/>
      <c r="C15" s="18"/>
      <c r="D15" s="18"/>
      <c r="E15" s="18"/>
      <c r="F15" s="18"/>
    </row>
    <row r="16" spans="1:6" x14ac:dyDescent="0.35">
      <c r="A16" s="4" t="s">
        <v>12</v>
      </c>
      <c r="B16" s="14">
        <v>0.25</v>
      </c>
      <c r="C16" s="17"/>
      <c r="D16" s="17"/>
      <c r="E16" s="17"/>
      <c r="F16" s="17"/>
    </row>
    <row r="17" spans="1:7" x14ac:dyDescent="0.35">
      <c r="A17" s="4" t="s">
        <v>13</v>
      </c>
      <c r="B17" s="9"/>
      <c r="C17" s="11">
        <f>B19</f>
        <v>2500000</v>
      </c>
      <c r="D17" s="11">
        <f>C19</f>
        <v>1875000</v>
      </c>
      <c r="E17" s="11">
        <f t="shared" ref="E17:F17" si="3">D19</f>
        <v>1250000</v>
      </c>
      <c r="F17" s="11">
        <f t="shared" si="3"/>
        <v>625000</v>
      </c>
    </row>
    <row r="18" spans="1:7" s="1" customFormat="1" x14ac:dyDescent="0.35">
      <c r="A18" s="6" t="s">
        <v>19</v>
      </c>
      <c r="B18" s="8"/>
      <c r="C18" s="10">
        <f>+B16*B19</f>
        <v>625000</v>
      </c>
      <c r="D18" s="10">
        <f>+C18</f>
        <v>625000</v>
      </c>
      <c r="E18" s="10">
        <f t="shared" ref="E18:F18" si="4">+D18</f>
        <v>625000</v>
      </c>
      <c r="F18" s="10">
        <f t="shared" si="4"/>
        <v>625000</v>
      </c>
    </row>
    <row r="19" spans="1:7" x14ac:dyDescent="0.35">
      <c r="A19" s="4" t="s">
        <v>14</v>
      </c>
      <c r="B19" s="15">
        <v>2500000</v>
      </c>
      <c r="C19" s="11">
        <f>C17-C18</f>
        <v>1875000</v>
      </c>
      <c r="D19" s="11">
        <f>D17-D18</f>
        <v>1250000</v>
      </c>
      <c r="E19" s="11">
        <f t="shared" ref="E19:F19" si="5">E17-E18</f>
        <v>625000</v>
      </c>
      <c r="F19" s="11">
        <f t="shared" si="5"/>
        <v>0</v>
      </c>
    </row>
    <row r="20" spans="1:7" x14ac:dyDescent="0.35">
      <c r="A20" s="4" t="s">
        <v>32</v>
      </c>
      <c r="B20" s="9"/>
      <c r="C20" s="11"/>
      <c r="D20" s="11"/>
      <c r="E20" s="11"/>
      <c r="F20" s="19">
        <v>125000</v>
      </c>
    </row>
    <row r="21" spans="1:7" x14ac:dyDescent="0.35">
      <c r="B21" s="2"/>
      <c r="C21" s="18"/>
      <c r="D21" s="18"/>
      <c r="E21" s="18"/>
      <c r="F21" s="18"/>
    </row>
    <row r="22" spans="1:7" x14ac:dyDescent="0.35">
      <c r="A22" t="s">
        <v>26</v>
      </c>
      <c r="B22" s="2"/>
      <c r="C22" s="18">
        <f>+B19</f>
        <v>2500000</v>
      </c>
      <c r="D22" s="18">
        <f>+C22-C23</f>
        <v>1875000</v>
      </c>
      <c r="E22" s="18">
        <f t="shared" ref="E22" si="6">+D22-D23</f>
        <v>1406250</v>
      </c>
      <c r="F22" s="18">
        <f>(B19-F20)-C23-D23-E23</f>
        <v>929687.5</v>
      </c>
    </row>
    <row r="23" spans="1:7" x14ac:dyDescent="0.35">
      <c r="A23" t="s">
        <v>27</v>
      </c>
      <c r="B23" s="2"/>
      <c r="C23" s="18">
        <f>+C22*$B$24</f>
        <v>625000</v>
      </c>
      <c r="D23" s="18">
        <f>+D22*$B$24</f>
        <v>468750</v>
      </c>
      <c r="E23" s="18">
        <f t="shared" ref="E23" si="7">+E22*$B$24</f>
        <v>351562.5</v>
      </c>
      <c r="F23" s="18"/>
    </row>
    <row r="24" spans="1:7" x14ac:dyDescent="0.35">
      <c r="A24" t="s">
        <v>28</v>
      </c>
      <c r="B24" s="12">
        <v>0.25</v>
      </c>
      <c r="C24" s="18"/>
      <c r="D24" s="18"/>
      <c r="E24" s="18"/>
      <c r="F24" s="18"/>
    </row>
    <row r="25" spans="1:7" x14ac:dyDescent="0.35">
      <c r="A25" t="s">
        <v>29</v>
      </c>
      <c r="B25" s="2"/>
      <c r="C25" s="18">
        <f>+$B$39*C23</f>
        <v>125000</v>
      </c>
      <c r="D25" s="18">
        <f>+$B$39*D23</f>
        <v>93750</v>
      </c>
      <c r="E25" s="18">
        <f>+$B$39*E23</f>
        <v>70312.5</v>
      </c>
      <c r="F25" s="18">
        <f>(B19-F20)*B39-C25-D25-E25</f>
        <v>185937.5</v>
      </c>
      <c r="G25" s="18"/>
    </row>
    <row r="26" spans="1:7" x14ac:dyDescent="0.35">
      <c r="B26" s="2"/>
      <c r="C26" s="18"/>
      <c r="D26" s="18"/>
      <c r="E26" s="18"/>
      <c r="F26" s="18"/>
    </row>
    <row r="27" spans="1:7" x14ac:dyDescent="0.35">
      <c r="B27" s="2"/>
      <c r="C27" s="18"/>
      <c r="D27" s="18"/>
      <c r="E27" s="18"/>
      <c r="F27" s="18"/>
    </row>
    <row r="28" spans="1:7" x14ac:dyDescent="0.35">
      <c r="C28" s="18"/>
      <c r="D28" s="18"/>
      <c r="E28" s="18"/>
      <c r="F28" s="18"/>
    </row>
    <row r="29" spans="1:7" x14ac:dyDescent="0.35">
      <c r="A29" s="4" t="s">
        <v>10</v>
      </c>
      <c r="B29" s="16">
        <v>1500000</v>
      </c>
      <c r="C29" s="11">
        <f>$B$29*(1+$B$30)^C2</f>
        <v>1590000</v>
      </c>
      <c r="D29" s="11">
        <f>$B$29*(1+$B$30)^D2</f>
        <v>1685400.0000000002</v>
      </c>
      <c r="E29" s="11">
        <f>$B$29*(1+$B$30)^E2</f>
        <v>1786524.0000000005</v>
      </c>
      <c r="F29" s="16">
        <v>0</v>
      </c>
    </row>
    <row r="30" spans="1:7" x14ac:dyDescent="0.35">
      <c r="A30" s="4" t="s">
        <v>6</v>
      </c>
      <c r="B30" s="22">
        <v>0.06</v>
      </c>
      <c r="D30" s="17"/>
      <c r="E30" s="17"/>
      <c r="F30" s="17"/>
    </row>
    <row r="31" spans="1:7" x14ac:dyDescent="0.35">
      <c r="A31" s="6" t="s">
        <v>11</v>
      </c>
      <c r="B31" s="7">
        <f>+B29</f>
        <v>1500000</v>
      </c>
      <c r="C31" s="10">
        <f>+C29-B29</f>
        <v>90000</v>
      </c>
      <c r="D31" s="10">
        <f t="shared" ref="D31:F31" si="8">+D29-C29</f>
        <v>95400.000000000233</v>
      </c>
      <c r="E31" s="10">
        <f t="shared" si="8"/>
        <v>101124.00000000023</v>
      </c>
      <c r="F31" s="10">
        <f t="shared" si="8"/>
        <v>-1786524.0000000005</v>
      </c>
    </row>
    <row r="32" spans="1:7" x14ac:dyDescent="0.35">
      <c r="C32" s="2"/>
      <c r="D32" s="2"/>
      <c r="E32" s="2"/>
      <c r="F32" s="2"/>
    </row>
    <row r="33" spans="1:6" x14ac:dyDescent="0.35">
      <c r="A33" s="1" t="s">
        <v>25</v>
      </c>
      <c r="C33" s="2"/>
      <c r="D33" s="2"/>
      <c r="E33" s="2"/>
      <c r="F33" s="2"/>
    </row>
    <row r="34" spans="1:6" x14ac:dyDescent="0.35">
      <c r="A34" s="4" t="s">
        <v>16</v>
      </c>
      <c r="B34" s="7">
        <f t="shared" ref="B34" si="9">+B2</f>
        <v>0</v>
      </c>
      <c r="C34" s="7">
        <f>+C2</f>
        <v>1</v>
      </c>
      <c r="D34" s="7">
        <f t="shared" ref="D34:F34" si="10">+D2</f>
        <v>2</v>
      </c>
      <c r="E34" s="7">
        <f t="shared" si="10"/>
        <v>3</v>
      </c>
      <c r="F34" s="7">
        <f t="shared" si="10"/>
        <v>4</v>
      </c>
    </row>
    <row r="35" spans="1:6" x14ac:dyDescent="0.35">
      <c r="A35" s="4" t="s">
        <v>7</v>
      </c>
      <c r="B35" s="4"/>
      <c r="C35" s="11">
        <f>C6/1000</f>
        <v>3120</v>
      </c>
      <c r="D35" s="11">
        <f t="shared" ref="D35:F35" si="11">D6/1000</f>
        <v>15575.040000000003</v>
      </c>
      <c r="E35" s="11">
        <f t="shared" si="11"/>
        <v>22272.307200000003</v>
      </c>
      <c r="F35" s="11">
        <f t="shared" si="11"/>
        <v>10294.755328000001</v>
      </c>
    </row>
    <row r="36" spans="1:6" x14ac:dyDescent="0.35">
      <c r="A36" s="4" t="s">
        <v>15</v>
      </c>
      <c r="B36" s="4"/>
      <c r="C36" s="11">
        <f>-C10/1000</f>
        <v>-1890</v>
      </c>
      <c r="D36" s="11">
        <f t="shared" ref="D36:F36" si="12">-D10/1000</f>
        <v>-7938</v>
      </c>
      <c r="E36" s="11">
        <f t="shared" si="12"/>
        <v>-9376.7625000000025</v>
      </c>
      <c r="F36" s="11">
        <f t="shared" si="12"/>
        <v>-4375.8225000000002</v>
      </c>
    </row>
    <row r="37" spans="1:6" x14ac:dyDescent="0.35">
      <c r="A37" s="4" t="s">
        <v>17</v>
      </c>
      <c r="B37" s="4"/>
      <c r="C37" s="11">
        <f>-C14/1000</f>
        <v>-540</v>
      </c>
      <c r="D37" s="11">
        <f t="shared" ref="D37:F37" si="13">-D14/1000</f>
        <v>-583.20000000000005</v>
      </c>
      <c r="E37" s="11">
        <f t="shared" si="13"/>
        <v>-629.85600000000011</v>
      </c>
      <c r="F37" s="11">
        <f t="shared" si="13"/>
        <v>-680.24448000000007</v>
      </c>
    </row>
    <row r="38" spans="1:6" s="1" customFormat="1" x14ac:dyDescent="0.35">
      <c r="A38" s="6" t="s">
        <v>36</v>
      </c>
      <c r="B38" s="6"/>
      <c r="C38" s="10">
        <f>SUM(C35:C37)</f>
        <v>690</v>
      </c>
      <c r="D38" s="10">
        <f>SUM(D35:D37)</f>
        <v>7053.8400000000029</v>
      </c>
      <c r="E38" s="10">
        <f>SUM(E35:E37)</f>
        <v>12265.688700000001</v>
      </c>
      <c r="F38" s="10">
        <f>SUM(F35:F37)</f>
        <v>5238.6883480000006</v>
      </c>
    </row>
    <row r="39" spans="1:6" x14ac:dyDescent="0.35">
      <c r="A39" s="4" t="s">
        <v>22</v>
      </c>
      <c r="B39" s="5">
        <v>0.2</v>
      </c>
      <c r="C39" s="11">
        <f>-C38*$B$39</f>
        <v>-138</v>
      </c>
      <c r="D39" s="11">
        <f t="shared" ref="D39:F39" si="14">-D38*$B$39</f>
        <v>-1410.7680000000007</v>
      </c>
      <c r="E39" s="11">
        <f t="shared" si="14"/>
        <v>-2453.1377400000001</v>
      </c>
      <c r="F39" s="11">
        <f t="shared" si="14"/>
        <v>-1047.7376696000001</v>
      </c>
    </row>
    <row r="40" spans="1:6" x14ac:dyDescent="0.35">
      <c r="A40" s="4" t="s">
        <v>35</v>
      </c>
      <c r="B40" s="11"/>
      <c r="C40" s="11">
        <f>+C25/1000</f>
        <v>125</v>
      </c>
      <c r="D40" s="11">
        <f t="shared" ref="D40:F40" si="15">+D25/1000</f>
        <v>93.75</v>
      </c>
      <c r="E40" s="11">
        <f t="shared" si="15"/>
        <v>70.3125</v>
      </c>
      <c r="F40" s="11">
        <f t="shared" si="15"/>
        <v>185.9375</v>
      </c>
    </row>
    <row r="41" spans="1:6" s="1" customFormat="1" x14ac:dyDescent="0.35">
      <c r="A41" s="6" t="s">
        <v>0</v>
      </c>
      <c r="B41" s="11"/>
      <c r="C41" s="10">
        <f>SUM(C38:C40)</f>
        <v>677</v>
      </c>
      <c r="D41" s="10">
        <f t="shared" ref="D41:F41" si="16">SUM(D38:D40)</f>
        <v>5736.8220000000019</v>
      </c>
      <c r="E41" s="10">
        <f t="shared" si="16"/>
        <v>9882.8634600000005</v>
      </c>
      <c r="F41" s="10">
        <f t="shared" si="16"/>
        <v>4376.8881784000005</v>
      </c>
    </row>
    <row r="42" spans="1:6" x14ac:dyDescent="0.35">
      <c r="A42" s="6" t="s">
        <v>23</v>
      </c>
      <c r="B42" s="11">
        <f>-B31/1000</f>
        <v>-1500</v>
      </c>
      <c r="C42" s="11">
        <f>-C31/1000</f>
        <v>-90</v>
      </c>
      <c r="D42" s="11">
        <f>-D31/1000</f>
        <v>-95.400000000000233</v>
      </c>
      <c r="E42" s="11">
        <f>-E31/1000</f>
        <v>-101.12400000000024</v>
      </c>
      <c r="F42" s="11">
        <f>-F31/1000</f>
        <v>1786.5240000000006</v>
      </c>
    </row>
    <row r="43" spans="1:6" x14ac:dyDescent="0.35">
      <c r="A43" s="4" t="s">
        <v>30</v>
      </c>
      <c r="B43" s="11">
        <f>-B19/1000</f>
        <v>-2500</v>
      </c>
      <c r="C43" s="11"/>
      <c r="D43" s="11"/>
      <c r="E43" s="11"/>
      <c r="F43" s="11"/>
    </row>
    <row r="44" spans="1:6" x14ac:dyDescent="0.35">
      <c r="A44" s="4" t="s">
        <v>31</v>
      </c>
      <c r="B44" s="11"/>
      <c r="C44" s="11"/>
      <c r="D44" s="11"/>
      <c r="E44" s="11"/>
      <c r="F44" s="11">
        <f>+F20/1000</f>
        <v>125</v>
      </c>
    </row>
    <row r="45" spans="1:6" x14ac:dyDescent="0.35">
      <c r="A45" s="6" t="s">
        <v>24</v>
      </c>
      <c r="B45" s="11">
        <f>SUM(B41:B44)</f>
        <v>-4000</v>
      </c>
      <c r="C45" s="11">
        <f>SUM(C41:C44)</f>
        <v>587</v>
      </c>
      <c r="D45" s="11">
        <f>SUM(D41:D44)</f>
        <v>5641.4220000000014</v>
      </c>
      <c r="E45" s="11">
        <f>SUM(E41:E44)</f>
        <v>9781.7394600000007</v>
      </c>
      <c r="F45" s="11">
        <f>SUM(F41:F44)</f>
        <v>6288.4121784000008</v>
      </c>
    </row>
    <row r="46" spans="1:6" x14ac:dyDescent="0.35">
      <c r="A46" s="4" t="s">
        <v>1</v>
      </c>
      <c r="B46" s="5">
        <v>0.12</v>
      </c>
      <c r="C46" s="23">
        <f>1/(1+$B$46)^C34</f>
        <v>0.89285714285714279</v>
      </c>
      <c r="D46" s="23">
        <f t="shared" ref="D46:F46" si="17">1/(1+$B$46)^D34</f>
        <v>0.79719387755102034</v>
      </c>
      <c r="E46" s="23">
        <f t="shared" si="17"/>
        <v>0.71178024781341087</v>
      </c>
      <c r="F46" s="23">
        <f t="shared" si="17"/>
        <v>0.63551807840483121</v>
      </c>
    </row>
    <row r="47" spans="1:6" s="1" customFormat="1" x14ac:dyDescent="0.35">
      <c r="A47" s="6" t="s">
        <v>2</v>
      </c>
      <c r="B47" s="10">
        <f>B45/(1+$B$46)^B2</f>
        <v>-4000</v>
      </c>
      <c r="C47" s="10">
        <f>C45/(1+$B$46)^C2</f>
        <v>524.10714285714278</v>
      </c>
      <c r="D47" s="10">
        <f>D45/(1+$B$46)^D2</f>
        <v>4497.3070790816328</v>
      </c>
      <c r="E47" s="10">
        <f>E45/(1+$B$46)^E2</f>
        <v>6962.44893688502</v>
      </c>
      <c r="F47" s="10">
        <f>F45/(1+$B$46)^F2</f>
        <v>3996.399623834307</v>
      </c>
    </row>
    <row r="48" spans="1:6" s="1" customFormat="1" x14ac:dyDescent="0.35">
      <c r="A48" s="6" t="s">
        <v>33</v>
      </c>
      <c r="B48" s="10">
        <f>SUM(C47:F47)</f>
        <v>15980.262782658101</v>
      </c>
      <c r="C48" s="20"/>
      <c r="D48" s="20"/>
      <c r="E48" s="20"/>
      <c r="F48" s="20"/>
    </row>
    <row r="49" spans="1:2" x14ac:dyDescent="0.35">
      <c r="A49" s="6" t="s">
        <v>3</v>
      </c>
      <c r="B49" s="21">
        <f>+B47+B48</f>
        <v>11980.262782658101</v>
      </c>
    </row>
  </sheetData>
  <pageMargins left="0.7" right="0.7" top="0.75" bottom="0.75" header="0.3" footer="0.3"/>
  <pageSetup orientation="landscape" r:id="rId1"/>
  <rowBreaks count="1" manualBreakCount="1"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1"/>
  <sheetViews>
    <sheetView topLeftCell="A4" zoomScale="163" zoomScaleNormal="172" workbookViewId="0">
      <selection activeCell="D5" sqref="D5"/>
    </sheetView>
  </sheetViews>
  <sheetFormatPr defaultRowHeight="14.5" x14ac:dyDescent="0.35"/>
  <cols>
    <col min="1" max="1" width="25.26953125" bestFit="1" customWidth="1"/>
    <col min="2" max="2" width="10.1796875" bestFit="1" customWidth="1"/>
    <col min="3" max="3" width="9.1796875" bestFit="1" customWidth="1"/>
  </cols>
  <sheetData>
    <row r="1" spans="1:6" x14ac:dyDescent="0.35">
      <c r="A1" s="1" t="s">
        <v>43</v>
      </c>
    </row>
    <row r="3" spans="1:6" x14ac:dyDescent="0.35">
      <c r="A3" s="4"/>
      <c r="B3" s="4" t="s">
        <v>60</v>
      </c>
      <c r="C3" s="4" t="s">
        <v>61</v>
      </c>
      <c r="D3" s="4" t="s">
        <v>62</v>
      </c>
      <c r="E3" s="4" t="s">
        <v>41</v>
      </c>
      <c r="F3" s="4" t="s">
        <v>63</v>
      </c>
    </row>
    <row r="4" spans="1:6" x14ac:dyDescent="0.35">
      <c r="A4" s="4" t="s">
        <v>40</v>
      </c>
      <c r="B4" s="4"/>
      <c r="C4" s="4">
        <f>-Portugal!B40</f>
        <v>4000</v>
      </c>
      <c r="D4" s="4"/>
      <c r="E4" s="4"/>
      <c r="F4" s="4"/>
    </row>
    <row r="5" spans="1:6" x14ac:dyDescent="0.35">
      <c r="A5" s="4" t="s">
        <v>38</v>
      </c>
      <c r="B5" s="26">
        <v>0.4</v>
      </c>
      <c r="C5" s="4">
        <f>+B5*$C$4</f>
        <v>1600</v>
      </c>
      <c r="D5" s="26">
        <v>0.18</v>
      </c>
      <c r="E5" s="4"/>
      <c r="F5" s="25">
        <f>+B5*D5</f>
        <v>7.1999999999999995E-2</v>
      </c>
    </row>
    <row r="6" spans="1:6" x14ac:dyDescent="0.35">
      <c r="A6" s="4" t="s">
        <v>39</v>
      </c>
      <c r="B6" s="26">
        <f>1-B5</f>
        <v>0.6</v>
      </c>
      <c r="C6" s="4">
        <f>+B6*$C$4</f>
        <v>2400</v>
      </c>
      <c r="D6" s="26">
        <v>0.1</v>
      </c>
      <c r="E6" s="27">
        <f>+Portugal!B34</f>
        <v>0.2</v>
      </c>
      <c r="F6" s="25">
        <f>+B6*D6*(1-E6)</f>
        <v>4.8000000000000001E-2</v>
      </c>
    </row>
    <row r="7" spans="1:6" x14ac:dyDescent="0.35">
      <c r="A7" s="4" t="s">
        <v>1</v>
      </c>
      <c r="B7" s="4"/>
      <c r="C7" s="4"/>
      <c r="D7" s="4"/>
      <c r="E7" s="4"/>
      <c r="F7" s="28">
        <f>+F5+F6</f>
        <v>0.12</v>
      </c>
    </row>
    <row r="8" spans="1:6" x14ac:dyDescent="0.35">
      <c r="F8" s="24"/>
    </row>
    <row r="9" spans="1:6" x14ac:dyDescent="0.35">
      <c r="A9" s="4" t="s">
        <v>64</v>
      </c>
      <c r="B9" s="4">
        <v>0</v>
      </c>
      <c r="C9" s="4">
        <v>1</v>
      </c>
      <c r="D9" s="4">
        <v>2</v>
      </c>
      <c r="E9" s="4">
        <v>3</v>
      </c>
      <c r="F9" s="4">
        <v>4</v>
      </c>
    </row>
    <row r="10" spans="1:6" x14ac:dyDescent="0.35">
      <c r="A10" s="4" t="s">
        <v>47</v>
      </c>
      <c r="B10" s="17">
        <f>+C6</f>
        <v>2400</v>
      </c>
      <c r="C10" s="17">
        <f>+B10-C13</f>
        <v>1882.8700711053652</v>
      </c>
      <c r="D10" s="17">
        <f t="shared" ref="D10:F10" si="0">+C10-D13</f>
        <v>1314.027149321267</v>
      </c>
      <c r="E10" s="17">
        <f t="shared" si="0"/>
        <v>688.29993535875894</v>
      </c>
      <c r="F10" s="17">
        <f t="shared" si="0"/>
        <v>0</v>
      </c>
    </row>
    <row r="11" spans="1:6" x14ac:dyDescent="0.35">
      <c r="A11" s="4" t="s">
        <v>45</v>
      </c>
      <c r="B11" s="17"/>
      <c r="C11" s="17">
        <f>PMT(D6,F9,-C6)</f>
        <v>757.12992889463476</v>
      </c>
      <c r="D11" s="17">
        <f>+C11</f>
        <v>757.12992889463476</v>
      </c>
      <c r="E11" s="17">
        <f t="shared" ref="E11:F11" si="1">+D11</f>
        <v>757.12992889463476</v>
      </c>
      <c r="F11" s="17">
        <f t="shared" si="1"/>
        <v>757.12992889463476</v>
      </c>
    </row>
    <row r="12" spans="1:6" x14ac:dyDescent="0.35">
      <c r="A12" s="4" t="s">
        <v>70</v>
      </c>
      <c r="B12" s="17"/>
      <c r="C12" s="17">
        <f>+B10*$D$6</f>
        <v>240</v>
      </c>
      <c r="D12" s="17">
        <f t="shared" ref="D12:F12" si="2">+C10*$D$6</f>
        <v>188.28700711053654</v>
      </c>
      <c r="E12" s="17">
        <f t="shared" si="2"/>
        <v>131.40271493212671</v>
      </c>
      <c r="F12" s="17">
        <f t="shared" si="2"/>
        <v>68.8299935358759</v>
      </c>
    </row>
    <row r="13" spans="1:6" x14ac:dyDescent="0.35">
      <c r="A13" s="4" t="s">
        <v>46</v>
      </c>
      <c r="B13" s="17"/>
      <c r="C13" s="17">
        <f>+C11-C12</f>
        <v>517.12992889463476</v>
      </c>
      <c r="D13" s="17">
        <f t="shared" ref="D13:F13" si="3">+D11-D12</f>
        <v>568.84292178409828</v>
      </c>
      <c r="E13" s="17">
        <f t="shared" si="3"/>
        <v>625.72721396250802</v>
      </c>
      <c r="F13" s="17">
        <f t="shared" si="3"/>
        <v>688.29993535875883</v>
      </c>
    </row>
    <row r="14" spans="1:6" x14ac:dyDescent="0.35">
      <c r="A14" s="29"/>
      <c r="B14" s="30"/>
      <c r="C14" s="30"/>
      <c r="D14" s="30"/>
      <c r="E14" s="30"/>
      <c r="F14" s="30"/>
    </row>
    <row r="15" spans="1:6" x14ac:dyDescent="0.35">
      <c r="A15" s="31" t="s">
        <v>44</v>
      </c>
      <c r="B15" s="30"/>
      <c r="C15" s="30">
        <f>+C12*$E$6</f>
        <v>48</v>
      </c>
      <c r="D15" s="30">
        <f t="shared" ref="D15:F15" si="4">+D12*$E$6</f>
        <v>37.657401422107306</v>
      </c>
      <c r="E15" s="30">
        <f t="shared" si="4"/>
        <v>26.280542986425345</v>
      </c>
      <c r="F15" s="30">
        <f t="shared" si="4"/>
        <v>13.76599870717518</v>
      </c>
    </row>
    <row r="16" spans="1:6" x14ac:dyDescent="0.35">
      <c r="A16" s="29"/>
      <c r="B16" s="30"/>
      <c r="C16" s="30"/>
      <c r="D16" s="30"/>
      <c r="E16" s="30"/>
      <c r="F16" s="30"/>
    </row>
    <row r="17" spans="1:6" x14ac:dyDescent="0.35">
      <c r="A17" s="31" t="s">
        <v>65</v>
      </c>
      <c r="B17" s="32">
        <f>1/D6*(1-1/(1+D6)^F9)</f>
        <v>3.169865446349295</v>
      </c>
      <c r="C17" s="30"/>
      <c r="D17" s="30"/>
      <c r="E17" s="30"/>
      <c r="F17" s="30"/>
    </row>
    <row r="18" spans="1:6" x14ac:dyDescent="0.35">
      <c r="A18" s="31" t="s">
        <v>45</v>
      </c>
      <c r="B18" s="30">
        <f>+C6/B17</f>
        <v>757.1299288946343</v>
      </c>
      <c r="C18" s="30"/>
      <c r="D18" s="30"/>
      <c r="E18" s="30"/>
      <c r="F18" s="30"/>
    </row>
    <row r="19" spans="1:6" x14ac:dyDescent="0.35">
      <c r="A19" s="29"/>
      <c r="B19" s="30"/>
      <c r="C19" s="30"/>
      <c r="D19" s="30"/>
      <c r="E19" s="30"/>
      <c r="F19" s="30"/>
    </row>
    <row r="24" spans="1:6" x14ac:dyDescent="0.35">
      <c r="A24" s="1" t="s">
        <v>48</v>
      </c>
    </row>
    <row r="25" spans="1:6" x14ac:dyDescent="0.35">
      <c r="B25">
        <v>0</v>
      </c>
      <c r="C25">
        <v>1</v>
      </c>
      <c r="D25">
        <v>2</v>
      </c>
      <c r="E25">
        <v>3</v>
      </c>
      <c r="F25">
        <v>4</v>
      </c>
    </row>
    <row r="26" spans="1:6" x14ac:dyDescent="0.35">
      <c r="A26" s="6" t="s">
        <v>24</v>
      </c>
      <c r="B26" s="11">
        <f>+Portugal!B40</f>
        <v>-4000</v>
      </c>
      <c r="C26" s="11">
        <f>+Portugal!C40</f>
        <v>587.00000000000034</v>
      </c>
      <c r="D26" s="11">
        <f>+Portugal!D40</f>
        <v>5672.6720000000014</v>
      </c>
      <c r="E26" s="11">
        <f>+Portugal!E40</f>
        <v>9836.4269599999971</v>
      </c>
      <c r="F26" s="11">
        <f>+Portugal!F40</f>
        <v>6202.4746784000008</v>
      </c>
    </row>
    <row r="27" spans="1:6" x14ac:dyDescent="0.35">
      <c r="A27" s="4" t="s">
        <v>42</v>
      </c>
      <c r="B27" s="25">
        <f>F7/(1-E6*B6)</f>
        <v>0.13636363636363635</v>
      </c>
      <c r="C27" s="11"/>
      <c r="D27" s="11"/>
      <c r="E27" s="11"/>
      <c r="F27" s="11"/>
    </row>
    <row r="28" spans="1:6" x14ac:dyDescent="0.35">
      <c r="A28" s="4" t="s">
        <v>33</v>
      </c>
      <c r="B28" s="33">
        <f>NPV(B27,C26:F26)</f>
        <v>15332.322035239096</v>
      </c>
    </row>
    <row r="29" spans="1:6" x14ac:dyDescent="0.35">
      <c r="A29" s="4" t="s">
        <v>71</v>
      </c>
      <c r="B29" s="33">
        <f>+B26+B28</f>
        <v>11332.322035239096</v>
      </c>
    </row>
    <row r="30" spans="1:6" x14ac:dyDescent="0.35">
      <c r="A30" s="4" t="s">
        <v>44</v>
      </c>
      <c r="B30" s="33">
        <f>NPV(D6,B15:E15)</f>
        <v>94.50314391490862</v>
      </c>
    </row>
    <row r="31" spans="1:6" x14ac:dyDescent="0.35">
      <c r="A31" s="4" t="s">
        <v>43</v>
      </c>
      <c r="B31" s="33">
        <f>+B29+B30</f>
        <v>11426.825179154004</v>
      </c>
    </row>
  </sheetData>
  <pageMargins left="0.7" right="0.7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3073" r:id="rId4">
          <objectPr defaultSize="0" autoPict="0" r:id="rId5">
            <anchor moveWithCells="1">
              <from>
                <xdr:col>0</xdr:col>
                <xdr:colOff>19050</xdr:colOff>
                <xdr:row>19</xdr:row>
                <xdr:rowOff>139700</xdr:rowOff>
              </from>
              <to>
                <xdr:col>0</xdr:col>
                <xdr:colOff>1358900</xdr:colOff>
                <xdr:row>22</xdr:row>
                <xdr:rowOff>107950</xdr:rowOff>
              </to>
            </anchor>
          </objectPr>
        </oleObject>
      </mc:Choice>
      <mc:Fallback>
        <oleObject progId="Equation.3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topLeftCell="A8" zoomScale="148" zoomScaleNormal="148" workbookViewId="0">
      <selection activeCell="H11" sqref="H11"/>
    </sheetView>
  </sheetViews>
  <sheetFormatPr defaultRowHeight="14.5" x14ac:dyDescent="0.35"/>
  <cols>
    <col min="1" max="1" width="26.81640625" bestFit="1" customWidth="1"/>
    <col min="2" max="2" width="10.1796875" bestFit="1" customWidth="1"/>
  </cols>
  <sheetData>
    <row r="1" spans="1:6" x14ac:dyDescent="0.35">
      <c r="A1" s="1" t="s">
        <v>66</v>
      </c>
    </row>
    <row r="3" spans="1:6" x14ac:dyDescent="0.35">
      <c r="A3" t="s">
        <v>49</v>
      </c>
    </row>
    <row r="4" spans="1:6" x14ac:dyDescent="0.35">
      <c r="A4" s="4"/>
      <c r="B4" s="4">
        <v>0</v>
      </c>
      <c r="C4" s="4">
        <v>1</v>
      </c>
      <c r="D4" s="4">
        <v>2</v>
      </c>
      <c r="E4" s="4">
        <v>3</v>
      </c>
      <c r="F4" s="4">
        <v>4</v>
      </c>
    </row>
    <row r="5" spans="1:6" x14ac:dyDescent="0.35">
      <c r="A5" s="6" t="s">
        <v>21</v>
      </c>
      <c r="B5" s="6"/>
      <c r="C5" s="10">
        <f>+Portugal!C33</f>
        <v>65.000000000000455</v>
      </c>
      <c r="D5" s="10">
        <f>+Portugal!D33</f>
        <v>6428.8400000000029</v>
      </c>
      <c r="E5" s="10">
        <f>+Portugal!E33</f>
        <v>11640.688699999997</v>
      </c>
      <c r="F5" s="10">
        <f>+Portugal!F33</f>
        <v>4613.6883480000006</v>
      </c>
    </row>
    <row r="6" spans="1:6" x14ac:dyDescent="0.35">
      <c r="A6" s="4" t="s">
        <v>50</v>
      </c>
      <c r="B6" s="4"/>
      <c r="C6" s="17">
        <f>+APV!C12</f>
        <v>240</v>
      </c>
      <c r="D6" s="17">
        <f>+APV!D12</f>
        <v>188.28700711053654</v>
      </c>
      <c r="E6" s="17">
        <f>+APV!E12</f>
        <v>131.40271493212671</v>
      </c>
      <c r="F6" s="17">
        <f>+APV!F12</f>
        <v>68.8299935358759</v>
      </c>
    </row>
    <row r="7" spans="1:6" x14ac:dyDescent="0.35">
      <c r="A7" s="4" t="s">
        <v>51</v>
      </c>
      <c r="B7" s="4"/>
      <c r="C7" s="17">
        <f>+C5-C6</f>
        <v>-174.99999999999955</v>
      </c>
      <c r="D7" s="17">
        <f t="shared" ref="D7:F7" si="0">+D5-D6</f>
        <v>6240.5529928894666</v>
      </c>
      <c r="E7" s="17">
        <f t="shared" si="0"/>
        <v>11509.285985067871</v>
      </c>
      <c r="F7" s="17">
        <f t="shared" si="0"/>
        <v>4544.8583544641251</v>
      </c>
    </row>
    <row r="8" spans="1:6" x14ac:dyDescent="0.35">
      <c r="A8" s="4" t="s">
        <v>36</v>
      </c>
      <c r="B8" s="4"/>
      <c r="C8" s="17">
        <v>0</v>
      </c>
      <c r="D8" s="17">
        <f>+D7+C7</f>
        <v>6065.5529928894666</v>
      </c>
      <c r="E8" s="17">
        <f>+E7</f>
        <v>11509.285985067871</v>
      </c>
      <c r="F8" s="17">
        <f>+F7</f>
        <v>4544.8583544641251</v>
      </c>
    </row>
    <row r="9" spans="1:6" x14ac:dyDescent="0.35">
      <c r="A9" s="4" t="s">
        <v>52</v>
      </c>
      <c r="B9" s="4"/>
      <c r="C9" s="17">
        <v>0</v>
      </c>
      <c r="D9" s="17">
        <f>-D8*APV!$E$6</f>
        <v>-1213.1105985778934</v>
      </c>
      <c r="E9" s="17">
        <f>-E8*APV!$E$6</f>
        <v>-2301.857197013574</v>
      </c>
      <c r="F9" s="17">
        <f>-F8*APV!$E$6</f>
        <v>-908.97167089282505</v>
      </c>
    </row>
    <row r="10" spans="1:6" x14ac:dyDescent="0.35">
      <c r="A10" s="4" t="s">
        <v>53</v>
      </c>
      <c r="B10" s="4"/>
      <c r="C10" s="17">
        <f>SUM(C8:C9)</f>
        <v>0</v>
      </c>
      <c r="D10" s="17">
        <f t="shared" ref="D10:F10" si="1">SUM(D8:D9)</f>
        <v>4852.4423943115735</v>
      </c>
      <c r="E10" s="17">
        <f t="shared" si="1"/>
        <v>9207.4287880542961</v>
      </c>
      <c r="F10" s="17">
        <f t="shared" si="1"/>
        <v>3635.8866835713002</v>
      </c>
    </row>
    <row r="11" spans="1:6" x14ac:dyDescent="0.35">
      <c r="A11" s="4" t="s">
        <v>20</v>
      </c>
      <c r="B11" s="17"/>
      <c r="C11" s="17">
        <f>+Portugal!C36</f>
        <v>625</v>
      </c>
      <c r="D11" s="17">
        <f>+Portugal!D36</f>
        <v>625</v>
      </c>
      <c r="E11" s="17">
        <f>+Portugal!E36</f>
        <v>625</v>
      </c>
      <c r="F11" s="17">
        <f>+Portugal!F36</f>
        <v>625</v>
      </c>
    </row>
    <row r="12" spans="1:6" x14ac:dyDescent="0.35">
      <c r="A12" s="4" t="s">
        <v>54</v>
      </c>
      <c r="B12" s="17">
        <f>+Portugal!B37</f>
        <v>-1500</v>
      </c>
      <c r="C12" s="17">
        <f>+Portugal!C37</f>
        <v>-90</v>
      </c>
      <c r="D12" s="17">
        <f>+Portugal!D37</f>
        <v>-95.400000000000233</v>
      </c>
      <c r="E12" s="17">
        <f>+Portugal!E37</f>
        <v>-101.12400000000024</v>
      </c>
      <c r="F12" s="17">
        <f>+Portugal!F37</f>
        <v>1786.5240000000006</v>
      </c>
    </row>
    <row r="13" spans="1:6" x14ac:dyDescent="0.35">
      <c r="A13" s="4" t="s">
        <v>55</v>
      </c>
      <c r="B13" s="17">
        <f>+Portugal!B38</f>
        <v>-2500</v>
      </c>
      <c r="C13" s="17"/>
      <c r="D13" s="17"/>
      <c r="E13" s="17"/>
      <c r="F13" s="17"/>
    </row>
    <row r="14" spans="1:6" x14ac:dyDescent="0.35">
      <c r="A14" s="4" t="s">
        <v>56</v>
      </c>
      <c r="B14" s="4"/>
      <c r="C14" s="4"/>
      <c r="D14" s="4"/>
      <c r="E14" s="4"/>
      <c r="F14" s="17">
        <f>+Portugal!F39</f>
        <v>100</v>
      </c>
    </row>
    <row r="15" spans="1:6" x14ac:dyDescent="0.35">
      <c r="A15" s="4" t="s">
        <v>57</v>
      </c>
      <c r="B15" s="17">
        <f>+APV!C6</f>
        <v>2400</v>
      </c>
      <c r="C15" s="17"/>
      <c r="D15" s="17"/>
      <c r="E15" s="17"/>
      <c r="F15" s="17"/>
    </row>
    <row r="16" spans="1:6" x14ac:dyDescent="0.35">
      <c r="A16" s="4" t="s">
        <v>58</v>
      </c>
      <c r="B16" s="17"/>
      <c r="C16" s="17">
        <f>-APV!C13</f>
        <v>-517.12992889463476</v>
      </c>
      <c r="D16" s="17">
        <f>-APV!D13</f>
        <v>-568.84292178409828</v>
      </c>
      <c r="E16" s="17">
        <f>-APV!E13</f>
        <v>-625.72721396250802</v>
      </c>
      <c r="F16" s="17">
        <f>-APV!F13</f>
        <v>-688.29993535875883</v>
      </c>
    </row>
    <row r="17" spans="1:6" x14ac:dyDescent="0.35">
      <c r="A17" s="4" t="s">
        <v>49</v>
      </c>
      <c r="B17" s="17">
        <f>SUM(B10:B16)</f>
        <v>-1600</v>
      </c>
      <c r="C17" s="17">
        <f t="shared" ref="C17:F17" si="2">SUM(C10:C16)</f>
        <v>17.870071105365241</v>
      </c>
      <c r="D17" s="17">
        <f t="shared" si="2"/>
        <v>4813.1994725274744</v>
      </c>
      <c r="E17" s="17">
        <f t="shared" si="2"/>
        <v>9105.5775740917888</v>
      </c>
      <c r="F17" s="17">
        <f t="shared" si="2"/>
        <v>5459.1107482125408</v>
      </c>
    </row>
    <row r="18" spans="1:6" x14ac:dyDescent="0.35">
      <c r="A18" s="4" t="s">
        <v>38</v>
      </c>
      <c r="B18" s="34">
        <f>+APV!D5</f>
        <v>0.18</v>
      </c>
    </row>
    <row r="19" spans="1:6" x14ac:dyDescent="0.35">
      <c r="A19" s="4" t="s">
        <v>59</v>
      </c>
      <c r="B19" s="33">
        <f>NPV(B18,C17:F17)</f>
        <v>11829.593263880075</v>
      </c>
    </row>
    <row r="20" spans="1:6" x14ac:dyDescent="0.35">
      <c r="A20" s="4" t="s">
        <v>3</v>
      </c>
      <c r="B20" s="33">
        <f>+B17+B19</f>
        <v>10229.593263880075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Portugal</vt:lpstr>
      <vt:lpstr>UK</vt:lpstr>
      <vt:lpstr>APV</vt:lpstr>
      <vt:lpstr>Equity cash 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jcneves</dc:creator>
  <cp:lastModifiedBy>João Carvalho das Neves</cp:lastModifiedBy>
  <cp:lastPrinted>2019-11-11T00:06:15Z</cp:lastPrinted>
  <dcterms:created xsi:type="dcterms:W3CDTF">2018-11-07T11:56:18Z</dcterms:created>
  <dcterms:modified xsi:type="dcterms:W3CDTF">2019-11-11T12:56:23Z</dcterms:modified>
</cp:coreProperties>
</file>