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disegutl-my.sharepoint.com/personal/jcneves_iseg_ulisboa_pt/Documents/Teaching-Portuguese/Aulas-ISEG/Gestao Financeira - GEI/Tutorials2020/"/>
    </mc:Choice>
  </mc:AlternateContent>
  <xr:revisionPtr revIDLastSave="0" documentId="8_{A409DF35-8F79-42EF-B3C3-013DB5683517}" xr6:coauthVersionLast="36" xr6:coauthVersionMax="36" xr10:uidLastSave="{00000000-0000-0000-0000-000000000000}"/>
  <bookViews>
    <workbookView xWindow="-120" yWindow="-120" windowWidth="15600" windowHeight="11760" xr2:uid="{00000000-000D-0000-FFFF-FFFF00000000}"/>
  </bookViews>
  <sheets>
    <sheet name="Resolucao" sheetId="1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calcPr calcId="191028"/>
</workbook>
</file>

<file path=xl/calcChain.xml><?xml version="1.0" encoding="utf-8"?>
<calcChain xmlns="http://schemas.openxmlformats.org/spreadsheetml/2006/main">
  <c r="C120" i="1" l="1"/>
  <c r="B120" i="1"/>
  <c r="C122" i="1"/>
  <c r="B122" i="1"/>
  <c r="C108" i="1"/>
  <c r="B108" i="1"/>
  <c r="C107" i="1"/>
  <c r="C106" i="1"/>
  <c r="C105" i="1"/>
  <c r="C109" i="1" s="1"/>
  <c r="C104" i="1"/>
  <c r="B107" i="1"/>
  <c r="B109" i="1"/>
  <c r="B106" i="1"/>
  <c r="B105" i="1"/>
  <c r="C112" i="1" l="1"/>
  <c r="B112" i="1"/>
  <c r="C18" i="1"/>
  <c r="C83" i="1" s="1"/>
  <c r="B18" i="1"/>
  <c r="B83" i="1"/>
  <c r="C92" i="1"/>
  <c r="C101" i="1"/>
  <c r="C86" i="1"/>
  <c r="B86" i="1"/>
  <c r="B92" i="1"/>
  <c r="B101" i="1"/>
  <c r="C93" i="1"/>
  <c r="B93" i="1"/>
  <c r="C87" i="1"/>
  <c r="B87" i="1"/>
  <c r="C79" i="1"/>
  <c r="C78" i="1"/>
  <c r="B79" i="1"/>
  <c r="B78" i="1" s="1"/>
  <c r="C75" i="1"/>
  <c r="C74" i="1"/>
  <c r="C100" i="1" s="1"/>
  <c r="B75" i="1"/>
  <c r="B74" i="1" s="1"/>
  <c r="B100" i="1" s="1"/>
  <c r="C72" i="1"/>
  <c r="C81" i="1"/>
  <c r="C97" i="1" s="1"/>
  <c r="C137" i="1" s="1"/>
  <c r="B72" i="1"/>
  <c r="B81" i="1" s="1"/>
  <c r="B97" i="1" s="1"/>
  <c r="B137" i="1" s="1"/>
  <c r="C82" i="1"/>
  <c r="B82" i="1"/>
  <c r="B12" i="1"/>
  <c r="B98" i="1"/>
  <c r="C12" i="1"/>
  <c r="C98" i="1"/>
  <c r="B31" i="1"/>
  <c r="B34" i="1"/>
  <c r="C36" i="1"/>
  <c r="C34" i="1"/>
  <c r="B37" i="1"/>
  <c r="C42" i="1"/>
  <c r="C37" i="1" s="1"/>
  <c r="B52" i="1"/>
  <c r="C52" i="1"/>
  <c r="B53" i="1"/>
  <c r="B58" i="1" s="1"/>
  <c r="C53" i="1"/>
  <c r="C58" i="1" s="1"/>
  <c r="B84" i="1"/>
  <c r="C84" i="1"/>
  <c r="B85" i="1"/>
  <c r="C85" i="1"/>
  <c r="B89" i="1"/>
  <c r="C89" i="1"/>
  <c r="B90" i="1"/>
  <c r="B94" i="1" s="1"/>
  <c r="C90" i="1"/>
  <c r="C94" i="1" s="1"/>
  <c r="B91" i="1"/>
  <c r="C91" i="1"/>
  <c r="C61" i="1"/>
  <c r="C16" i="1"/>
  <c r="C27" i="1" s="1"/>
  <c r="B16" i="1"/>
  <c r="B27" i="1" s="1"/>
  <c r="B59" i="1"/>
  <c r="C59" i="1" l="1"/>
  <c r="C60" i="1"/>
  <c r="B61" i="1"/>
  <c r="B158" i="1"/>
  <c r="B138" i="1"/>
  <c r="B150" i="1" s="1"/>
  <c r="B144" i="1"/>
  <c r="B60" i="1"/>
  <c r="B62" i="1" s="1"/>
  <c r="B148" i="1"/>
  <c r="B142" i="1"/>
  <c r="B140" i="1"/>
  <c r="C158" i="1"/>
  <c r="C138" i="1"/>
  <c r="C152" i="1" s="1"/>
  <c r="B151" i="1"/>
  <c r="C88" i="1"/>
  <c r="C95" i="1" s="1"/>
  <c r="C99" i="1" s="1"/>
  <c r="C102" i="1" s="1"/>
  <c r="B88" i="1"/>
  <c r="B95" i="1" s="1"/>
  <c r="B99" i="1" s="1"/>
  <c r="B102" i="1" s="1"/>
  <c r="B156" i="1" l="1"/>
  <c r="B141" i="1"/>
  <c r="C64" i="1"/>
  <c r="C149" i="1"/>
  <c r="C142" i="1"/>
  <c r="C145" i="1"/>
  <c r="B64" i="1"/>
  <c r="B149" i="1"/>
  <c r="C148" i="1"/>
  <c r="B152" i="1"/>
  <c r="C140" i="1"/>
  <c r="C156" i="1"/>
  <c r="C141" i="1"/>
  <c r="C144" i="1"/>
  <c r="C150" i="1"/>
  <c r="B143" i="1"/>
  <c r="C151" i="1"/>
  <c r="C143" i="1"/>
  <c r="B145" i="1"/>
  <c r="C133" i="1"/>
  <c r="B133" i="1"/>
  <c r="C132" i="1" l="1"/>
  <c r="C66" i="1"/>
  <c r="C134" i="1"/>
  <c r="B153" i="1"/>
  <c r="B154" i="1" s="1"/>
  <c r="C119" i="1"/>
  <c r="B146" i="1"/>
  <c r="B134" i="1"/>
  <c r="C153" i="1"/>
  <c r="C146" i="1"/>
  <c r="C154" i="1" s="1"/>
  <c r="B132" i="1"/>
  <c r="B66" i="1"/>
  <c r="B119" i="1"/>
  <c r="C121" i="1"/>
  <c r="B121" i="1"/>
  <c r="C68" i="1" l="1"/>
  <c r="C32" i="1" s="1"/>
  <c r="C69" i="1" s="1"/>
  <c r="C67" i="1"/>
  <c r="C124" i="1" s="1"/>
  <c r="C128" i="1" s="1"/>
  <c r="B68" i="1"/>
  <c r="B67" i="1" s="1"/>
  <c r="B124" i="1" s="1"/>
  <c r="B128" i="1" s="1"/>
  <c r="C135" i="1" l="1"/>
  <c r="B32" i="1"/>
  <c r="B69" i="1" s="1"/>
  <c r="B135" i="1"/>
  <c r="C31" i="1" l="1"/>
  <c r="C29" i="1" s="1"/>
  <c r="B29" i="1"/>
  <c r="B46" i="1" l="1"/>
  <c r="B49" i="1" s="1"/>
  <c r="B104" i="1"/>
  <c r="C46" i="1"/>
  <c r="C49" i="1" s="1"/>
  <c r="C113" i="1" l="1"/>
  <c r="C116" i="1"/>
  <c r="B113" i="1"/>
  <c r="B116" i="1"/>
  <c r="C123" i="1" l="1"/>
  <c r="C125" i="1"/>
  <c r="C129" i="1" s="1"/>
  <c r="B125" i="1"/>
  <c r="B123" i="1"/>
  <c r="C126" i="1" l="1"/>
  <c r="B126" i="1"/>
  <c r="B129" i="1"/>
</calcChain>
</file>

<file path=xl/sharedStrings.xml><?xml version="1.0" encoding="utf-8"?>
<sst xmlns="http://schemas.openxmlformats.org/spreadsheetml/2006/main" count="173" uniqueCount="158">
  <si>
    <t>Trabalhos a realizar:</t>
  </si>
  <si>
    <t>1) Analise a rendibilidade do capital próprio da sociedade Baía Limpa, SA</t>
  </si>
  <si>
    <t>2) Analise a eficiencia de gestão do ciclo financeiro de exploração e de rotação dos ativos fixos</t>
  </si>
  <si>
    <t>Para isso:</t>
  </si>
  <si>
    <t>Elabore o balanço funcional (managerial balance sheet)</t>
  </si>
  <si>
    <t>Já elaborado abaixo</t>
  </si>
  <si>
    <t>Calcule o ciclo financeiro de exploração por cada uma das suas rubricas</t>
  </si>
  <si>
    <t>Calcule o rácio de rotação do ativo fixo</t>
  </si>
  <si>
    <r>
      <t xml:space="preserve">BALANÇO  DA BAÍA LIMPA S.A. EM 31 DE DEZEMBRO </t>
    </r>
    <r>
      <rPr>
        <sz val="8"/>
        <rFont val="Arial"/>
        <family val="2"/>
      </rPr>
      <t>(em euros)</t>
    </r>
  </si>
  <si>
    <t>ATIVO LÍQUIDO</t>
  </si>
  <si>
    <t>ATIVO FIXO:</t>
  </si>
  <si>
    <t xml:space="preserve"> Ativo fixo intangível</t>
  </si>
  <si>
    <t xml:space="preserve"> Ativo fixo tangível</t>
  </si>
  <si>
    <t xml:space="preserve"> Investimentos financeiros</t>
  </si>
  <si>
    <t>ATIVO CORRENTE:</t>
  </si>
  <si>
    <t xml:space="preserve">  Inventários</t>
  </si>
  <si>
    <t xml:space="preserve">  Clientes</t>
  </si>
  <si>
    <t xml:space="preserve">  Investimentos em  associadas</t>
  </si>
  <si>
    <t xml:space="preserve">  Investimentos em outras empresas</t>
  </si>
  <si>
    <t xml:space="preserve">  Adiantamentos a fornecedores</t>
  </si>
  <si>
    <t xml:space="preserve">  Estado e outros entes públicos</t>
  </si>
  <si>
    <t xml:space="preserve">  Outras contas a receber </t>
  </si>
  <si>
    <t>Ver o que é de exploração e de fora da exploração. Neste vamos admitir que tudo é de exploração.</t>
  </si>
  <si>
    <t xml:space="preserve">  Ativos financeiros</t>
  </si>
  <si>
    <t xml:space="preserve">  Depósitos bancários e caixa</t>
  </si>
  <si>
    <t xml:space="preserve">  Diferimentos ativos (1) </t>
  </si>
  <si>
    <t>Ver o que é de exploração e de fora da exploração</t>
  </si>
  <si>
    <t xml:space="preserve">     TOTAL DO ATIVO</t>
  </si>
  <si>
    <t>CAPITAL PRÓPRIO E PASSIVO</t>
  </si>
  <si>
    <t>CAPITAL PRÓPRIO:</t>
  </si>
  <si>
    <t xml:space="preserve">  Capital</t>
  </si>
  <si>
    <t xml:space="preserve">  Reservas e resultados transitados</t>
  </si>
  <si>
    <t xml:space="preserve">  Resultado líquido do exercício</t>
  </si>
  <si>
    <t>PASSIVO:</t>
  </si>
  <si>
    <t>PASSIVO NÃO CORRENTE</t>
  </si>
  <si>
    <t xml:space="preserve"> Provisões</t>
  </si>
  <si>
    <t xml:space="preserve"> Financiamentos obtidos</t>
  </si>
  <si>
    <t>PASSIVO CORRENTE</t>
  </si>
  <si>
    <t xml:space="preserve">  Financiamentos obtidos</t>
  </si>
  <si>
    <t xml:space="preserve">  Adiantamentos de clientes</t>
  </si>
  <si>
    <t xml:space="preserve">  Fornecedores</t>
  </si>
  <si>
    <t xml:space="preserve">  Accionistas/sócios</t>
  </si>
  <si>
    <t xml:space="preserve">  Outras contas a pagar</t>
  </si>
  <si>
    <t xml:space="preserve">   Diferimentos passivos (2)</t>
  </si>
  <si>
    <t>TOTAL DO CAPITAL  PRÓPRIO E PASSIVO</t>
  </si>
  <si>
    <t>(1) Dos quais: 122.800€ em 2018 e 122.100€ em 2019 relacionados com obras em curso.</t>
  </si>
  <si>
    <t>(2) Dos quais 88.400€ em 2018 e 80.300€ em 2019 relacionados com Gastos com pessoal e seguros relacionados com a atividade</t>
  </si>
  <si>
    <t>VENDAS E PRESTAÇÕES DE SERVIÇOS:</t>
  </si>
  <si>
    <t xml:space="preserve">  Mercadorias</t>
  </si>
  <si>
    <t xml:space="preserve">  Produtos </t>
  </si>
  <si>
    <t xml:space="preserve">  Prestação de serviços</t>
  </si>
  <si>
    <t>GASTOS OPERACIONAIS:</t>
  </si>
  <si>
    <t xml:space="preserve">  Custo das mercadorias vendidas e consumidas</t>
  </si>
  <si>
    <t xml:space="preserve">   Fornecimentos e serviços de terceiros</t>
  </si>
  <si>
    <t xml:space="preserve">  Gastos com pessoal</t>
  </si>
  <si>
    <t xml:space="preserve">  Impostos</t>
  </si>
  <si>
    <t xml:space="preserve">  Outras despesas operacionais</t>
  </si>
  <si>
    <t xml:space="preserve">  Amortizações e provisões</t>
  </si>
  <si>
    <t>RESULTADOS OPERACIONAIS</t>
  </si>
  <si>
    <t xml:space="preserve">Gastos financeiros líquidos de rendimentos </t>
  </si>
  <si>
    <t>RESULTADOS ANTES DE IMPOSTOS</t>
  </si>
  <si>
    <t>Impostos sobre lucros (IRC)</t>
  </si>
  <si>
    <t>RESULTADO LÍQUIDO DO EXERCÍCIO</t>
  </si>
  <si>
    <t>Passo 1: Separar ativos ciclicos dos não cíclicos</t>
  </si>
  <si>
    <t>1. Diferimentos ativos</t>
  </si>
  <si>
    <t>Diferimentos ativos ciclicos</t>
  </si>
  <si>
    <t>Diferimentos ativos não operacionais</t>
  </si>
  <si>
    <t>Soma</t>
  </si>
  <si>
    <t>2. Diferimentos passivos</t>
  </si>
  <si>
    <t>Diferimentos passivos cíclicos</t>
  </si>
  <si>
    <t>Diferimentos passivos não operacionais</t>
  </si>
  <si>
    <t>Necessidades em fundo de maneio</t>
  </si>
  <si>
    <t>Inventários</t>
  </si>
  <si>
    <t>Clientes</t>
  </si>
  <si>
    <t>Adiantamentos a fornecedores</t>
  </si>
  <si>
    <t>Estado e outros entes publicos</t>
  </si>
  <si>
    <t>Ativo ciclico</t>
  </si>
  <si>
    <t>Adiantamentos de clientes</t>
  </si>
  <si>
    <t>Fornecedores</t>
  </si>
  <si>
    <t>Passivo ciclico</t>
  </si>
  <si>
    <t>Ativo fixo</t>
  </si>
  <si>
    <t>Caixa e equivalentes</t>
  </si>
  <si>
    <t>Capital Investido</t>
  </si>
  <si>
    <t>Capital próprio</t>
  </si>
  <si>
    <t>Capital Obtido</t>
  </si>
  <si>
    <t>Rendibilidade do capital próprio</t>
  </si>
  <si>
    <t>Rendibilidade do capital próprio = Resultados Líquidos/Capital próprio</t>
  </si>
  <si>
    <t>Modelo aditivo da rendbilidade:</t>
  </si>
  <si>
    <t>RCI =Resultado Operacional/Capital Investido</t>
  </si>
  <si>
    <t>Spread</t>
  </si>
  <si>
    <t>Debt to Equity ratio</t>
  </si>
  <si>
    <t>D/E</t>
  </si>
  <si>
    <t>Efeito de alavanca financeira</t>
  </si>
  <si>
    <t>t= Impostos sobre lucros / Resultados antes de impostos</t>
  </si>
  <si>
    <t>Rendibilidade do capital investido liquido de imposto</t>
  </si>
  <si>
    <t>RCI liquido de imposto = RCI antes de imposto x (1-t)</t>
  </si>
  <si>
    <t>Acréscimo da RCP por efeito de alavanca financeira</t>
  </si>
  <si>
    <t>Detalhar a RCI = Modelo de negócio = margem x rotaçao</t>
  </si>
  <si>
    <t>Rendibilidade operacional das vendas</t>
  </si>
  <si>
    <t>Rendibilidade operacional das vendas = Resultado operacional / Volume de negócios</t>
  </si>
  <si>
    <t xml:space="preserve">Rotação do capital </t>
  </si>
  <si>
    <t>Rotação do capital investido = Volume de negócios / Capital investido</t>
  </si>
  <si>
    <t>Análise do ciclo financeiro de exploração</t>
  </si>
  <si>
    <t>Prazo médio de recebimentos de clientes</t>
  </si>
  <si>
    <t>Prazo médio de adiantamento aos fornecedores</t>
  </si>
  <si>
    <t>Prazo médio de recebimentos do EOEP</t>
  </si>
  <si>
    <t>Prazo médio de adiantamento dos clientes</t>
  </si>
  <si>
    <t>Prazo médio de pagamento a fornecedores</t>
  </si>
  <si>
    <t>Prazo médio de pagamento ao EOEP</t>
  </si>
  <si>
    <t>Prazo médio de pagamento dos diferimentos passivos</t>
  </si>
  <si>
    <t>Ciclo financeiro de exploração = cash conversion cycle</t>
  </si>
  <si>
    <t>Rotação do ativo fixo</t>
  </si>
  <si>
    <r>
      <t xml:space="preserve">DEMONSTRAÇÃO DE RESULTADOS DO EXERCÍCIO POR NATUREZA </t>
    </r>
    <r>
      <rPr>
        <sz val="8"/>
        <rFont val="Arial"/>
        <family val="2"/>
      </rPr>
      <t>(em euros)</t>
    </r>
  </si>
  <si>
    <t>Balanço Funcional para a Gestão (Managerial Balance Sheet)</t>
  </si>
  <si>
    <t>Passivo sem juros</t>
  </si>
  <si>
    <t>Vai ser realizado sem ajustamentos ao capital próprio</t>
  </si>
  <si>
    <t>Conferência</t>
  </si>
  <si>
    <t>Diferimentos ativos (de exploração)</t>
  </si>
  <si>
    <t>Outras contas a receber (de exploração)</t>
  </si>
  <si>
    <t>Outras contas a pagar (de exploração)</t>
  </si>
  <si>
    <t>Diferimentos passivos (de exploração)</t>
  </si>
  <si>
    <t>ANÁLISE DA RENDIBILIDADE DO CAPITAL PRÓPRIO (MODELO ADITIVO)</t>
  </si>
  <si>
    <t>RCI-kd</t>
  </si>
  <si>
    <t>(RCI-kd)*D/E</t>
  </si>
  <si>
    <t>RCP = [RCI +(RCI-kd)*D/E]*(1-t)</t>
  </si>
  <si>
    <t>RCP = [RCI +(RCI-kd)*D/E]*(1-t) ou RCI(1-t)+[(RCI*(1-t)-kd(1-t)]*D/E</t>
  </si>
  <si>
    <t>Rendibilidade do capital investido antes de impostos</t>
  </si>
  <si>
    <t>Rendibilidade do capital investido liquido de impostos</t>
  </si>
  <si>
    <t>Volume de negósicos médio por dia</t>
  </si>
  <si>
    <t>Volume de negócios = Vendas + Prestação de serviços + outros rendimentos operacionais (que não existem neste caso)</t>
  </si>
  <si>
    <t xml:space="preserve">Tempo de permanência do inventário </t>
  </si>
  <si>
    <t>Prazo de recebimento de outras contas a receber</t>
  </si>
  <si>
    <t>Conversão dos ativos cíclicos em liquidez (dias de vendas)</t>
  </si>
  <si>
    <t>Prazo dos ativos cíclicos em dias de vendas</t>
  </si>
  <si>
    <t>Prazo dos passivos ciclicos em dias de vendas</t>
  </si>
  <si>
    <t>Prazo de pagamento de outras contas a pagar</t>
  </si>
  <si>
    <t>Prazo médio de recebimento dos diferimentos ativos cíclicos</t>
  </si>
  <si>
    <t>Conversão dos passivos cíclicos em exigibilidade (dias) de vendas)</t>
  </si>
  <si>
    <t>Perda de eficiência na gestão do ciclo financeira de exploração</t>
  </si>
  <si>
    <t>NFM pode calcular-se em rotação:</t>
  </si>
  <si>
    <t>Redução de rotação significa perda de eficiência</t>
  </si>
  <si>
    <t>Rotacao do ativo fixo = Volume de negócios/Ativo fixo</t>
  </si>
  <si>
    <t>Volume de negócios/NFM</t>
  </si>
  <si>
    <t>Também redução de eficiência, resultante sobretudo da quebra de volume de negócios</t>
  </si>
  <si>
    <t>Outros ativos correntes não cíclicos</t>
  </si>
  <si>
    <t>Outros passivos correntes não cíclicos</t>
  </si>
  <si>
    <t>Dívida financeira=empréstimos bancários+obrigações+leasing+acionistas (no caso de ser para financiamento e com juros como preço de transferencia interna). Fornecedores de imobilizado pode considerar-se ser leasings.</t>
  </si>
  <si>
    <t>Outros passivos não correntes</t>
  </si>
  <si>
    <t>Divida financeira de m/l prazo</t>
  </si>
  <si>
    <t>Divida financeira de c/ prazo</t>
  </si>
  <si>
    <t>Dívida financeira=empréstimos bancários+obrigações+leasing+acionistas. Fornecedores de imobilizado</t>
  </si>
  <si>
    <t xml:space="preserve">  Fornecedores de imobilizado</t>
  </si>
  <si>
    <t>Divida financeira (total)</t>
  </si>
  <si>
    <t>Capital alheio = Divida financeira + outros passivos correntes e não correntes</t>
  </si>
  <si>
    <t>kd = gastos financeiros liquidos/capital alheio</t>
  </si>
  <si>
    <t>Custo do capital alheio antes de impostos</t>
  </si>
  <si>
    <t>Taxa efetiva de imposto sobre lucros</t>
  </si>
  <si>
    <t>Nota: D = Capital alheio e E = Equity i.e. capital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</si>
</sst>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)\ [$€]_ ;_ * \(#,##0.00\)\ [$€]_ ;_ * &quot;-&quot;??_)\ [$€]_ ;_ @_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Arial"/>
      <family val="2"/>
    </font>
    <font>
      <sz val="8"/>
      <name val="Trebuchet MS"/>
      <family val="2"/>
    </font>
    <font>
      <b/>
      <sz val="11"/>
      <name val="Trebuchet MS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70C0"/>
      <name val="Trebuchet MS"/>
      <family val="2"/>
    </font>
    <font>
      <sz val="8"/>
      <color rgb="FF0070C0"/>
      <name val="Trebuchet MS"/>
      <family val="2"/>
    </font>
    <font>
      <sz val="13.5"/>
      <color rgb="FF000000"/>
      <name val="Times New Roman"/>
      <charset val="1"/>
    </font>
    <font>
      <sz val="10"/>
      <color rgb="FFFF0000"/>
      <name val="Trebuchet MS"/>
      <family val="2"/>
    </font>
    <font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5" fillId="0" borderId="0" xfId="0" applyFont="1" applyAlignment="1">
      <alignment horizontal="center"/>
    </xf>
    <xf numFmtId="3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9" fontId="4" fillId="0" borderId="0" xfId="2" applyFont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9" fillId="0" borderId="1" xfId="0" quotePrefix="1" applyNumberFormat="1" applyFont="1" applyBorder="1" applyAlignment="1">
      <alignment horizontal="right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vertical="top"/>
    </xf>
    <xf numFmtId="0" fontId="7" fillId="0" borderId="0" xfId="0" applyFont="1"/>
    <xf numFmtId="0" fontId="6" fillId="0" borderId="0" xfId="0" quotePrefix="1" applyFont="1" applyAlignment="1">
      <alignment vertical="top"/>
    </xf>
    <xf numFmtId="164" fontId="4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12" fillId="0" borderId="0" xfId="0" applyFont="1"/>
    <xf numFmtId="0" fontId="6" fillId="0" borderId="0" xfId="0" quotePrefix="1" applyFont="1" applyAlignment="1">
      <alignment vertical="top"/>
    </xf>
    <xf numFmtId="0" fontId="6" fillId="0" borderId="0" xfId="0" quotePrefix="1" applyFont="1" applyAlignment="1">
      <alignment vertical="top" wrapText="1"/>
    </xf>
    <xf numFmtId="0" fontId="13" fillId="0" borderId="0" xfId="0" applyFont="1"/>
    <xf numFmtId="3" fontId="13" fillId="0" borderId="0" xfId="0" applyNumberFormat="1" applyFont="1"/>
    <xf numFmtId="0" fontId="5" fillId="0" borderId="0" xfId="0" applyFont="1" applyAlignment="1">
      <alignment horizontal="left"/>
    </xf>
    <xf numFmtId="164" fontId="13" fillId="0" borderId="0" xfId="0" applyNumberFormat="1" applyFont="1"/>
    <xf numFmtId="0" fontId="14" fillId="0" borderId="0" xfId="0" applyFont="1"/>
    <xf numFmtId="0" fontId="4" fillId="0" borderId="0" xfId="0" applyFont="1" applyAlignment="1">
      <alignment horizontal="left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8"/>
  <sheetViews>
    <sheetView tabSelected="1" workbookViewId="0">
      <selection activeCell="B5" sqref="B5"/>
    </sheetView>
  </sheetViews>
  <sheetFormatPr defaultColWidth="9.1796875" defaultRowHeight="13.5" x14ac:dyDescent="0.35"/>
  <cols>
    <col min="1" max="1" width="59.90625" style="2" customWidth="1"/>
    <col min="2" max="2" width="11.81640625" style="2" bestFit="1" customWidth="1"/>
    <col min="3" max="3" width="9.1796875" style="2"/>
    <col min="4" max="4" width="9.7265625" style="2" bestFit="1" customWidth="1"/>
    <col min="5" max="16384" width="9.1796875" style="2"/>
  </cols>
  <sheetData>
    <row r="1" spans="1:5" ht="14.5" x14ac:dyDescent="0.35">
      <c r="A1" s="25" t="s">
        <v>0</v>
      </c>
    </row>
    <row r="2" spans="1:5" x14ac:dyDescent="0.35">
      <c r="A2" s="2" t="s">
        <v>1</v>
      </c>
    </row>
    <row r="3" spans="1:5" x14ac:dyDescent="0.35">
      <c r="A3" s="2" t="s">
        <v>2</v>
      </c>
    </row>
    <row r="4" spans="1:5" x14ac:dyDescent="0.35">
      <c r="A4" s="2" t="s">
        <v>3</v>
      </c>
    </row>
    <row r="5" spans="1:5" x14ac:dyDescent="0.35">
      <c r="A5" s="7" t="s">
        <v>4</v>
      </c>
      <c r="B5" s="22" t="s">
        <v>5</v>
      </c>
    </row>
    <row r="6" spans="1:5" x14ac:dyDescent="0.35">
      <c r="A6" s="7" t="s">
        <v>6</v>
      </c>
    </row>
    <row r="7" spans="1:5" x14ac:dyDescent="0.35">
      <c r="A7" s="7" t="s">
        <v>7</v>
      </c>
    </row>
    <row r="9" spans="1:5" s="1" customFormat="1" x14ac:dyDescent="0.35">
      <c r="A9" s="4" t="s">
        <v>8</v>
      </c>
      <c r="B9"/>
      <c r="C9"/>
    </row>
    <row r="10" spans="1:5" x14ac:dyDescent="0.35">
      <c r="A10" s="11"/>
      <c r="B10" s="12">
        <v>2018</v>
      </c>
      <c r="C10" s="12">
        <v>2019</v>
      </c>
    </row>
    <row r="11" spans="1:5" x14ac:dyDescent="0.35">
      <c r="A11" s="13" t="s">
        <v>9</v>
      </c>
      <c r="B11" s="11"/>
      <c r="C11" s="11"/>
    </row>
    <row r="12" spans="1:5" x14ac:dyDescent="0.35">
      <c r="A12" s="14" t="s">
        <v>10</v>
      </c>
      <c r="B12" s="15">
        <f>SUM(B13:B15)</f>
        <v>2127062</v>
      </c>
      <c r="C12" s="15">
        <f>SUM(C13:C15)</f>
        <v>1718272</v>
      </c>
      <c r="D12" s="5"/>
    </row>
    <row r="13" spans="1:5" x14ac:dyDescent="0.35">
      <c r="A13" s="11" t="s">
        <v>11</v>
      </c>
      <c r="B13" s="16">
        <v>993811</v>
      </c>
      <c r="C13" s="16">
        <v>768113</v>
      </c>
      <c r="E13" s="5"/>
    </row>
    <row r="14" spans="1:5" x14ac:dyDescent="0.35">
      <c r="A14" s="11" t="s">
        <v>12</v>
      </c>
      <c r="B14" s="16">
        <v>1054573</v>
      </c>
      <c r="C14" s="16">
        <v>884563</v>
      </c>
    </row>
    <row r="15" spans="1:5" x14ac:dyDescent="0.35">
      <c r="A15" s="11" t="s">
        <v>13</v>
      </c>
      <c r="B15" s="16">
        <v>78678</v>
      </c>
      <c r="C15" s="16">
        <v>65596</v>
      </c>
    </row>
    <row r="16" spans="1:5" x14ac:dyDescent="0.35">
      <c r="A16" s="14" t="s">
        <v>14</v>
      </c>
      <c r="B16" s="15">
        <f>SUM(B17:B26)</f>
        <v>700017</v>
      </c>
      <c r="C16" s="15">
        <f>SUM(C17:C26)</f>
        <v>563919</v>
      </c>
    </row>
    <row r="17" spans="1:5" x14ac:dyDescent="0.35">
      <c r="A17" s="20" t="s">
        <v>15</v>
      </c>
      <c r="B17" s="21">
        <v>141904</v>
      </c>
      <c r="C17" s="21">
        <v>120812</v>
      </c>
      <c r="D17" s="3"/>
      <c r="E17" s="3"/>
    </row>
    <row r="18" spans="1:5" x14ac:dyDescent="0.35">
      <c r="A18" s="20" t="s">
        <v>16</v>
      </c>
      <c r="B18" s="21">
        <f>184171+4671+1880</f>
        <v>190722</v>
      </c>
      <c r="C18" s="21">
        <f>162582+12391+2175</f>
        <v>177148</v>
      </c>
      <c r="D18" s="3"/>
      <c r="E18" s="3"/>
    </row>
    <row r="19" spans="1:5" s="1" customFormat="1" x14ac:dyDescent="0.35">
      <c r="A19" s="11" t="s">
        <v>17</v>
      </c>
      <c r="B19" s="17">
        <v>918</v>
      </c>
      <c r="C19" s="17">
        <v>295</v>
      </c>
    </row>
    <row r="20" spans="1:5" x14ac:dyDescent="0.35">
      <c r="A20" s="11" t="s">
        <v>18</v>
      </c>
      <c r="B20" s="17">
        <v>748</v>
      </c>
      <c r="C20" s="17">
        <v>121</v>
      </c>
    </row>
    <row r="21" spans="1:5" x14ac:dyDescent="0.35">
      <c r="A21" s="20" t="s">
        <v>19</v>
      </c>
      <c r="B21" s="21">
        <v>1189</v>
      </c>
      <c r="C21" s="21">
        <v>1354</v>
      </c>
    </row>
    <row r="22" spans="1:5" x14ac:dyDescent="0.35">
      <c r="A22" s="20" t="s">
        <v>20</v>
      </c>
      <c r="B22" s="21">
        <v>12814</v>
      </c>
      <c r="C22" s="21">
        <v>43177</v>
      </c>
    </row>
    <row r="23" spans="1:5" x14ac:dyDescent="0.35">
      <c r="A23" s="20" t="s">
        <v>21</v>
      </c>
      <c r="B23" s="21">
        <v>21524</v>
      </c>
      <c r="C23" s="21">
        <v>18191</v>
      </c>
      <c r="D23" s="22" t="s">
        <v>22</v>
      </c>
    </row>
    <row r="24" spans="1:5" x14ac:dyDescent="0.35">
      <c r="A24" s="11" t="s">
        <v>23</v>
      </c>
      <c r="B24" s="16">
        <v>39791</v>
      </c>
      <c r="C24" s="16">
        <v>32982</v>
      </c>
    </row>
    <row r="25" spans="1:5" x14ac:dyDescent="0.35">
      <c r="A25" s="11" t="s">
        <v>24</v>
      </c>
      <c r="B25" s="16">
        <v>147546</v>
      </c>
      <c r="C25" s="16">
        <v>37717</v>
      </c>
    </row>
    <row r="26" spans="1:5" x14ac:dyDescent="0.35">
      <c r="A26" s="20" t="s">
        <v>25</v>
      </c>
      <c r="B26" s="21">
        <v>142861</v>
      </c>
      <c r="C26" s="21">
        <v>132122</v>
      </c>
      <c r="D26" s="22" t="s">
        <v>26</v>
      </c>
    </row>
    <row r="27" spans="1:5" x14ac:dyDescent="0.35">
      <c r="A27" s="14" t="s">
        <v>27</v>
      </c>
      <c r="B27" s="15">
        <f>+B12+B16</f>
        <v>2827079</v>
      </c>
      <c r="C27" s="15">
        <f>+C12+C16</f>
        <v>2282191</v>
      </c>
    </row>
    <row r="28" spans="1:5" x14ac:dyDescent="0.35">
      <c r="A28" s="13" t="s">
        <v>28</v>
      </c>
      <c r="B28" s="18"/>
      <c r="C28" s="18"/>
    </row>
    <row r="29" spans="1:5" x14ac:dyDescent="0.35">
      <c r="A29" s="14" t="s">
        <v>29</v>
      </c>
      <c r="B29" s="15">
        <f>SUM(B30:B32)</f>
        <v>1221957.8999999999</v>
      </c>
      <c r="C29" s="15">
        <f>SUM(C30:C32)</f>
        <v>1191870.4724999999</v>
      </c>
    </row>
    <row r="30" spans="1:5" x14ac:dyDescent="0.35">
      <c r="A30" s="11" t="s">
        <v>30</v>
      </c>
      <c r="B30" s="16">
        <v>670000</v>
      </c>
      <c r="C30" s="16">
        <v>670000</v>
      </c>
    </row>
    <row r="31" spans="1:5" x14ac:dyDescent="0.35">
      <c r="A31" s="11" t="s">
        <v>31</v>
      </c>
      <c r="B31" s="16">
        <f>408096-30100</f>
        <v>377996</v>
      </c>
      <c r="C31" s="16">
        <f>+B31+B32*0.2</f>
        <v>412788.38</v>
      </c>
      <c r="D31" s="5"/>
    </row>
    <row r="32" spans="1:5" x14ac:dyDescent="0.35">
      <c r="A32" s="11" t="s">
        <v>32</v>
      </c>
      <c r="B32" s="16">
        <f>+B68</f>
        <v>173961.9</v>
      </c>
      <c r="C32" s="16">
        <f>+C68</f>
        <v>109082.09250000003</v>
      </c>
    </row>
    <row r="33" spans="1:5" x14ac:dyDescent="0.35">
      <c r="A33" s="14" t="s">
        <v>33</v>
      </c>
      <c r="B33" s="15"/>
      <c r="C33" s="15"/>
    </row>
    <row r="34" spans="1:5" x14ac:dyDescent="0.35">
      <c r="A34" s="14" t="s">
        <v>34</v>
      </c>
      <c r="B34" s="15">
        <f>SUM(B35:B36)</f>
        <v>722515</v>
      </c>
      <c r="C34" s="15">
        <f>SUM(C35:C36)</f>
        <v>99432</v>
      </c>
    </row>
    <row r="35" spans="1:5" x14ac:dyDescent="0.35">
      <c r="A35" s="11" t="s">
        <v>35</v>
      </c>
      <c r="B35" s="16">
        <v>56693</v>
      </c>
      <c r="C35" s="16">
        <v>16085</v>
      </c>
    </row>
    <row r="36" spans="1:5" x14ac:dyDescent="0.35">
      <c r="A36" s="11" t="s">
        <v>36</v>
      </c>
      <c r="B36" s="16">
        <v>665822</v>
      </c>
      <c r="C36" s="16">
        <f>44200+39147</f>
        <v>83347</v>
      </c>
      <c r="D36" s="5"/>
    </row>
    <row r="37" spans="1:5" x14ac:dyDescent="0.35">
      <c r="A37" s="14" t="s">
        <v>37</v>
      </c>
      <c r="B37" s="15">
        <f>SUM(B38:B45)</f>
        <v>882606</v>
      </c>
      <c r="C37" s="15">
        <f>SUM(C38:C45)</f>
        <v>990889</v>
      </c>
      <c r="D37" s="5"/>
      <c r="E37" s="5"/>
    </row>
    <row r="38" spans="1:5" x14ac:dyDescent="0.35">
      <c r="A38" s="11" t="s">
        <v>38</v>
      </c>
      <c r="B38" s="16">
        <v>581284</v>
      </c>
      <c r="C38" s="16">
        <v>689030</v>
      </c>
    </row>
    <row r="39" spans="1:5" x14ac:dyDescent="0.35">
      <c r="A39" s="20" t="s">
        <v>39</v>
      </c>
      <c r="B39" s="21">
        <v>6944</v>
      </c>
      <c r="C39" s="21">
        <v>2267</v>
      </c>
    </row>
    <row r="40" spans="1:5" s="1" customFormat="1" x14ac:dyDescent="0.35">
      <c r="A40" s="20" t="s">
        <v>40</v>
      </c>
      <c r="B40" s="21">
        <v>106432</v>
      </c>
      <c r="C40" s="21">
        <v>93826</v>
      </c>
    </row>
    <row r="41" spans="1:5" x14ac:dyDescent="0.35">
      <c r="A41" s="11" t="s">
        <v>151</v>
      </c>
      <c r="B41" s="16">
        <v>23729</v>
      </c>
      <c r="C41" s="16">
        <v>16333</v>
      </c>
    </row>
    <row r="42" spans="1:5" x14ac:dyDescent="0.35">
      <c r="A42" s="11" t="s">
        <v>41</v>
      </c>
      <c r="B42" s="16">
        <v>2425</v>
      </c>
      <c r="C42" s="16">
        <f>6218-2518</f>
        <v>3700</v>
      </c>
    </row>
    <row r="43" spans="1:5" x14ac:dyDescent="0.35">
      <c r="A43" s="20" t="s">
        <v>20</v>
      </c>
      <c r="B43" s="21">
        <v>52349</v>
      </c>
      <c r="C43" s="21">
        <v>84706</v>
      </c>
    </row>
    <row r="44" spans="1:5" x14ac:dyDescent="0.35">
      <c r="A44" s="20" t="s">
        <v>42</v>
      </c>
      <c r="B44" s="21">
        <v>10976</v>
      </c>
      <c r="C44" s="21">
        <v>19531</v>
      </c>
      <c r="D44" s="22" t="s">
        <v>22</v>
      </c>
    </row>
    <row r="45" spans="1:5" x14ac:dyDescent="0.35">
      <c r="A45" s="20" t="s">
        <v>43</v>
      </c>
      <c r="B45" s="21">
        <v>98467</v>
      </c>
      <c r="C45" s="21">
        <v>81496</v>
      </c>
      <c r="D45" s="22" t="s">
        <v>26</v>
      </c>
    </row>
    <row r="46" spans="1:5" x14ac:dyDescent="0.35">
      <c r="A46" s="14" t="s">
        <v>44</v>
      </c>
      <c r="B46" s="15">
        <f>+B29+B34+B37</f>
        <v>2827078.9</v>
      </c>
      <c r="C46" s="15">
        <f>+C29+C34+C37</f>
        <v>2282191.4725000001</v>
      </c>
      <c r="E46" s="5"/>
    </row>
    <row r="47" spans="1:5" x14ac:dyDescent="0.35">
      <c r="A47" s="6" t="s">
        <v>45</v>
      </c>
    </row>
    <row r="48" spans="1:5" ht="25" customHeight="1" x14ac:dyDescent="0.35">
      <c r="A48" s="32" t="s">
        <v>46</v>
      </c>
      <c r="B48" s="32"/>
      <c r="C48" s="32"/>
    </row>
    <row r="49" spans="1:3" x14ac:dyDescent="0.35">
      <c r="A49" s="33" t="s">
        <v>116</v>
      </c>
      <c r="B49" s="34">
        <f>+B27-B46</f>
        <v>0.10000000009313226</v>
      </c>
      <c r="C49" s="34">
        <f>+C27-C46</f>
        <v>-0.47250000014901161</v>
      </c>
    </row>
    <row r="50" spans="1:3" x14ac:dyDescent="0.35">
      <c r="A50" s="33"/>
      <c r="B50" s="34"/>
      <c r="C50" s="34"/>
    </row>
    <row r="51" spans="1:3" x14ac:dyDescent="0.35">
      <c r="A51" s="35" t="s">
        <v>112</v>
      </c>
      <c r="B51"/>
      <c r="C51"/>
    </row>
    <row r="52" spans="1:3" x14ac:dyDescent="0.35">
      <c r="A52" s="11"/>
      <c r="B52" s="12">
        <f>+B10</f>
        <v>2018</v>
      </c>
      <c r="C52" s="12">
        <f>+C10</f>
        <v>2019</v>
      </c>
    </row>
    <row r="53" spans="1:3" x14ac:dyDescent="0.35">
      <c r="A53" s="14" t="s">
        <v>47</v>
      </c>
      <c r="B53" s="15">
        <f>SUM(B54:B56)</f>
        <v>1316121</v>
      </c>
      <c r="C53" s="15">
        <f>SUM(C54:C56)</f>
        <v>981498</v>
      </c>
    </row>
    <row r="54" spans="1:3" x14ac:dyDescent="0.35">
      <c r="A54" s="11" t="s">
        <v>48</v>
      </c>
      <c r="B54" s="16">
        <v>54666</v>
      </c>
      <c r="C54" s="16">
        <v>32553</v>
      </c>
    </row>
    <row r="55" spans="1:3" x14ac:dyDescent="0.35">
      <c r="A55" s="11" t="s">
        <v>49</v>
      </c>
      <c r="B55" s="16">
        <v>1208900</v>
      </c>
      <c r="C55" s="16">
        <v>918400</v>
      </c>
    </row>
    <row r="56" spans="1:3" x14ac:dyDescent="0.35">
      <c r="A56" s="11" t="s">
        <v>50</v>
      </c>
      <c r="B56" s="16">
        <v>52555</v>
      </c>
      <c r="C56" s="16">
        <v>30545</v>
      </c>
    </row>
    <row r="57" spans="1:3" x14ac:dyDescent="0.35">
      <c r="A57" s="11" t="s">
        <v>51</v>
      </c>
      <c r="B57" s="14"/>
      <c r="C57" s="14"/>
    </row>
    <row r="58" spans="1:3" x14ac:dyDescent="0.35">
      <c r="A58" s="11" t="s">
        <v>52</v>
      </c>
      <c r="B58" s="16">
        <f>0.3*B53</f>
        <v>394836.3</v>
      </c>
      <c r="C58" s="16">
        <f>0.29*C53</f>
        <v>284634.42</v>
      </c>
    </row>
    <row r="59" spans="1:3" x14ac:dyDescent="0.35">
      <c r="A59" s="11" t="s">
        <v>53</v>
      </c>
      <c r="B59" s="16">
        <f>+B53*0.12</f>
        <v>157934.51999999999</v>
      </c>
      <c r="C59" s="16">
        <f>+C53*0.14</f>
        <v>137409.72</v>
      </c>
    </row>
    <row r="60" spans="1:3" x14ac:dyDescent="0.35">
      <c r="A60" s="11" t="s">
        <v>54</v>
      </c>
      <c r="B60" s="16">
        <f>+B53*0.15</f>
        <v>197418.15</v>
      </c>
      <c r="C60" s="16">
        <f>+C53*0.2</f>
        <v>196299.6</v>
      </c>
    </row>
    <row r="61" spans="1:3" x14ac:dyDescent="0.35">
      <c r="A61" s="11" t="s">
        <v>55</v>
      </c>
      <c r="B61" s="16">
        <f>0.02*B53</f>
        <v>26322.420000000002</v>
      </c>
      <c r="C61" s="16">
        <f>0.015*C53</f>
        <v>14722.47</v>
      </c>
    </row>
    <row r="62" spans="1:3" x14ac:dyDescent="0.35">
      <c r="A62" s="11" t="s">
        <v>56</v>
      </c>
      <c r="B62" s="16">
        <f>796717-SUM(B58:B61)</f>
        <v>20205.609999999986</v>
      </c>
      <c r="C62" s="16">
        <v>21433</v>
      </c>
    </row>
    <row r="63" spans="1:3" x14ac:dyDescent="0.35">
      <c r="A63" s="11" t="s">
        <v>57</v>
      </c>
      <c r="B63" s="16">
        <v>216313</v>
      </c>
      <c r="C63" s="16">
        <v>152030</v>
      </c>
    </row>
    <row r="64" spans="1:3" x14ac:dyDescent="0.35">
      <c r="A64" s="11" t="s">
        <v>58</v>
      </c>
      <c r="B64" s="19">
        <f>+B53-SUM(B58:B63)</f>
        <v>303091</v>
      </c>
      <c r="C64" s="19">
        <f>+C53-SUM(C58:C63)</f>
        <v>174968.79000000004</v>
      </c>
    </row>
    <row r="65" spans="1:8" x14ac:dyDescent="0.35">
      <c r="A65" s="11" t="s">
        <v>59</v>
      </c>
      <c r="B65" s="16">
        <v>54574</v>
      </c>
      <c r="C65" s="16">
        <v>29526</v>
      </c>
      <c r="D65" s="3"/>
      <c r="E65" s="3"/>
    </row>
    <row r="66" spans="1:8" x14ac:dyDescent="0.35">
      <c r="A66" s="11" t="s">
        <v>60</v>
      </c>
      <c r="B66" s="15">
        <f>+B64-B65</f>
        <v>248517</v>
      </c>
      <c r="C66" s="15">
        <f>+C64-C65</f>
        <v>145442.79000000004</v>
      </c>
    </row>
    <row r="67" spans="1:8" x14ac:dyDescent="0.35">
      <c r="A67" s="11" t="s">
        <v>61</v>
      </c>
      <c r="B67" s="15">
        <f>B66-B68</f>
        <v>74555.100000000006</v>
      </c>
      <c r="C67" s="15">
        <f>C66-C68</f>
        <v>36360.697500000009</v>
      </c>
    </row>
    <row r="68" spans="1:8" x14ac:dyDescent="0.35">
      <c r="A68" s="11" t="s">
        <v>62</v>
      </c>
      <c r="B68" s="15">
        <f>+B66*0.7</f>
        <v>173961.9</v>
      </c>
      <c r="C68" s="15">
        <f>+C66*0.75</f>
        <v>109082.09250000003</v>
      </c>
    </row>
    <row r="69" spans="1:8" x14ac:dyDescent="0.35">
      <c r="A69" s="33" t="s">
        <v>116</v>
      </c>
      <c r="B69" s="34">
        <f>+B68-B32</f>
        <v>0</v>
      </c>
      <c r="C69" s="34">
        <f>+C68-C32</f>
        <v>0</v>
      </c>
    </row>
    <row r="71" spans="1:8" x14ac:dyDescent="0.35">
      <c r="A71" s="2" t="s">
        <v>63</v>
      </c>
    </row>
    <row r="72" spans="1:8" x14ac:dyDescent="0.35">
      <c r="A72" s="2" t="s">
        <v>64</v>
      </c>
      <c r="B72" s="1">
        <f>+B10</f>
        <v>2018</v>
      </c>
      <c r="C72" s="1">
        <f>+C10</f>
        <v>2019</v>
      </c>
    </row>
    <row r="73" spans="1:8" x14ac:dyDescent="0.35">
      <c r="A73" s="7" t="s">
        <v>65</v>
      </c>
      <c r="B73" s="5">
        <v>122800</v>
      </c>
      <c r="C73" s="5">
        <v>122100</v>
      </c>
      <c r="D73" s="23" t="s">
        <v>45</v>
      </c>
      <c r="E73" s="26"/>
      <c r="F73" s="26"/>
      <c r="G73" s="26"/>
    </row>
    <row r="74" spans="1:8" x14ac:dyDescent="0.35">
      <c r="A74" s="7" t="s">
        <v>66</v>
      </c>
      <c r="B74" s="5">
        <f>+B75-B73</f>
        <v>20061</v>
      </c>
      <c r="C74" s="5">
        <f>+C75-C73</f>
        <v>10022</v>
      </c>
    </row>
    <row r="75" spans="1:8" x14ac:dyDescent="0.35">
      <c r="A75" s="2" t="s">
        <v>67</v>
      </c>
      <c r="B75" s="5">
        <f>+B26</f>
        <v>142861</v>
      </c>
      <c r="C75" s="5">
        <f>+C26</f>
        <v>132122</v>
      </c>
    </row>
    <row r="76" spans="1:8" x14ac:dyDescent="0.35">
      <c r="A76" s="2" t="s">
        <v>68</v>
      </c>
    </row>
    <row r="77" spans="1:8" x14ac:dyDescent="0.35">
      <c r="A77" s="7" t="s">
        <v>69</v>
      </c>
      <c r="B77" s="5">
        <v>88400</v>
      </c>
      <c r="C77" s="5">
        <v>80300</v>
      </c>
      <c r="D77" s="24" t="s">
        <v>46</v>
      </c>
    </row>
    <row r="78" spans="1:8" x14ac:dyDescent="0.35">
      <c r="A78" s="7" t="s">
        <v>70</v>
      </c>
      <c r="B78" s="5">
        <f>+B79-B77</f>
        <v>10067</v>
      </c>
      <c r="C78" s="5">
        <f>+C79-C77</f>
        <v>1196</v>
      </c>
    </row>
    <row r="79" spans="1:8" x14ac:dyDescent="0.35">
      <c r="A79" s="2" t="s">
        <v>67</v>
      </c>
      <c r="B79" s="5">
        <f>+B45</f>
        <v>98467</v>
      </c>
      <c r="C79" s="5">
        <f>+C45</f>
        <v>81496</v>
      </c>
      <c r="E79" s="26"/>
      <c r="F79" s="26"/>
    </row>
    <row r="80" spans="1:8" x14ac:dyDescent="0.35">
      <c r="F80" s="31"/>
      <c r="G80" s="31"/>
      <c r="H80" s="31"/>
    </row>
    <row r="81" spans="1:4" x14ac:dyDescent="0.35">
      <c r="A81" s="1" t="s">
        <v>71</v>
      </c>
      <c r="B81" s="1">
        <f>+B72</f>
        <v>2018</v>
      </c>
      <c r="C81" s="1">
        <f>+C72</f>
        <v>2019</v>
      </c>
    </row>
    <row r="82" spans="1:4" x14ac:dyDescent="0.35">
      <c r="A82" s="7" t="s">
        <v>72</v>
      </c>
      <c r="B82" s="5">
        <f>+B17</f>
        <v>141904</v>
      </c>
      <c r="C82" s="5">
        <f>+C17</f>
        <v>120812</v>
      </c>
    </row>
    <row r="83" spans="1:4" x14ac:dyDescent="0.35">
      <c r="A83" s="7" t="s">
        <v>73</v>
      </c>
      <c r="B83" s="5">
        <f>+B18</f>
        <v>190722</v>
      </c>
      <c r="C83" s="5">
        <f>+C18</f>
        <v>177148</v>
      </c>
    </row>
    <row r="84" spans="1:4" x14ac:dyDescent="0.35">
      <c r="A84" s="7" t="s">
        <v>74</v>
      </c>
      <c r="B84" s="5">
        <f>+B21</f>
        <v>1189</v>
      </c>
      <c r="C84" s="5">
        <f>+C21</f>
        <v>1354</v>
      </c>
    </row>
    <row r="85" spans="1:4" x14ac:dyDescent="0.35">
      <c r="A85" s="7" t="s">
        <v>75</v>
      </c>
      <c r="B85" s="5">
        <f>+B22</f>
        <v>12814</v>
      </c>
      <c r="C85" s="5">
        <f>+C22</f>
        <v>43177</v>
      </c>
    </row>
    <row r="86" spans="1:4" x14ac:dyDescent="0.35">
      <c r="A86" s="7" t="s">
        <v>118</v>
      </c>
      <c r="B86" s="5">
        <f>+B23</f>
        <v>21524</v>
      </c>
      <c r="C86" s="5">
        <f>+C23</f>
        <v>18191</v>
      </c>
    </row>
    <row r="87" spans="1:4" x14ac:dyDescent="0.35">
      <c r="A87" s="7" t="s">
        <v>117</v>
      </c>
      <c r="B87" s="5">
        <f>+B73</f>
        <v>122800</v>
      </c>
      <c r="C87" s="5">
        <f>+C73</f>
        <v>122100</v>
      </c>
    </row>
    <row r="88" spans="1:4" x14ac:dyDescent="0.35">
      <c r="A88" s="8" t="s">
        <v>76</v>
      </c>
      <c r="B88" s="5">
        <f>SUM(B82:B87)</f>
        <v>490953</v>
      </c>
      <c r="C88" s="5">
        <f>SUM(C82:C87)</f>
        <v>482782</v>
      </c>
    </row>
    <row r="89" spans="1:4" x14ac:dyDescent="0.35">
      <c r="A89" s="7" t="s">
        <v>77</v>
      </c>
      <c r="B89" s="5">
        <f>+B39</f>
        <v>6944</v>
      </c>
      <c r="C89" s="5">
        <f>+C39</f>
        <v>2267</v>
      </c>
    </row>
    <row r="90" spans="1:4" x14ac:dyDescent="0.35">
      <c r="A90" s="7" t="s">
        <v>78</v>
      </c>
      <c r="B90" s="5">
        <f>+B40</f>
        <v>106432</v>
      </c>
      <c r="C90" s="5">
        <f>+C40</f>
        <v>93826</v>
      </c>
    </row>
    <row r="91" spans="1:4" x14ac:dyDescent="0.35">
      <c r="A91" s="7" t="s">
        <v>75</v>
      </c>
      <c r="B91" s="5">
        <f>+B43</f>
        <v>52349</v>
      </c>
      <c r="C91" s="5">
        <f>+C43</f>
        <v>84706</v>
      </c>
    </row>
    <row r="92" spans="1:4" x14ac:dyDescent="0.35">
      <c r="A92" s="7" t="s">
        <v>119</v>
      </c>
      <c r="B92" s="5">
        <f>+B44</f>
        <v>10976</v>
      </c>
      <c r="C92" s="5">
        <f>+C44</f>
        <v>19531</v>
      </c>
    </row>
    <row r="93" spans="1:4" x14ac:dyDescent="0.35">
      <c r="A93" s="7" t="s">
        <v>120</v>
      </c>
      <c r="B93" s="5">
        <f>+B77</f>
        <v>88400</v>
      </c>
      <c r="C93" s="5">
        <f>+C77</f>
        <v>80300</v>
      </c>
    </row>
    <row r="94" spans="1:4" x14ac:dyDescent="0.35">
      <c r="A94" s="8" t="s">
        <v>79</v>
      </c>
      <c r="B94" s="5">
        <f>SUM(B89:B93)</f>
        <v>265101</v>
      </c>
      <c r="C94" s="5">
        <f>SUM(C89:C93)</f>
        <v>280630</v>
      </c>
    </row>
    <row r="95" spans="1:4" x14ac:dyDescent="0.35">
      <c r="A95" s="9" t="s">
        <v>71</v>
      </c>
      <c r="B95" s="5">
        <f>+B88-B94</f>
        <v>225852</v>
      </c>
      <c r="C95" s="5">
        <f>+C88-C94</f>
        <v>202152</v>
      </c>
      <c r="D95" s="10"/>
    </row>
    <row r="97" spans="1:4" x14ac:dyDescent="0.35">
      <c r="A97" s="1" t="s">
        <v>113</v>
      </c>
      <c r="B97" s="1">
        <f>+B81</f>
        <v>2018</v>
      </c>
      <c r="C97" s="1">
        <f>+C81</f>
        <v>2019</v>
      </c>
      <c r="D97" s="1" t="s">
        <v>115</v>
      </c>
    </row>
    <row r="98" spans="1:4" x14ac:dyDescent="0.35">
      <c r="A98" s="2" t="s">
        <v>80</v>
      </c>
      <c r="B98" s="5">
        <f>+B12</f>
        <v>2127062</v>
      </c>
      <c r="C98" s="5">
        <f>+C12</f>
        <v>1718272</v>
      </c>
    </row>
    <row r="99" spans="1:4" x14ac:dyDescent="0.35">
      <c r="A99" s="2" t="s">
        <v>71</v>
      </c>
      <c r="B99" s="5">
        <f>+B95</f>
        <v>225852</v>
      </c>
      <c r="C99" s="5">
        <f>+C95</f>
        <v>202152</v>
      </c>
    </row>
    <row r="100" spans="1:4" x14ac:dyDescent="0.35">
      <c r="A100" s="2" t="s">
        <v>144</v>
      </c>
      <c r="B100" s="5">
        <f>+B74</f>
        <v>20061</v>
      </c>
      <c r="C100" s="5">
        <f>+C74</f>
        <v>10022</v>
      </c>
    </row>
    <row r="101" spans="1:4" x14ac:dyDescent="0.35">
      <c r="A101" s="2" t="s">
        <v>81</v>
      </c>
      <c r="B101" s="5">
        <f>+B19+B20+B24+B25</f>
        <v>189003</v>
      </c>
      <c r="C101" s="5">
        <f>+C19+C20+C24+C25</f>
        <v>71115</v>
      </c>
    </row>
    <row r="102" spans="1:4" x14ac:dyDescent="0.35">
      <c r="A102" s="7" t="s">
        <v>82</v>
      </c>
      <c r="B102" s="5">
        <f>SUM(B98:B101)</f>
        <v>2561978</v>
      </c>
      <c r="C102" s="5">
        <f>SUM(C98:C101)</f>
        <v>2001561</v>
      </c>
    </row>
    <row r="104" spans="1:4" x14ac:dyDescent="0.35">
      <c r="A104" s="2" t="s">
        <v>83</v>
      </c>
      <c r="B104" s="5">
        <f>+B29</f>
        <v>1221957.8999999999</v>
      </c>
      <c r="C104" s="5">
        <f>+C29</f>
        <v>1191870.4724999999</v>
      </c>
    </row>
    <row r="105" spans="1:4" x14ac:dyDescent="0.35">
      <c r="A105" s="2" t="s">
        <v>148</v>
      </c>
      <c r="B105" s="5">
        <f>+B36</f>
        <v>665822</v>
      </c>
      <c r="C105" s="5">
        <f>+C36</f>
        <v>83347</v>
      </c>
      <c r="D105" s="2" t="s">
        <v>150</v>
      </c>
    </row>
    <row r="106" spans="1:4" x14ac:dyDescent="0.35">
      <c r="A106" s="2" t="s">
        <v>147</v>
      </c>
      <c r="B106" s="5">
        <f>+B35</f>
        <v>56693</v>
      </c>
      <c r="C106" s="5">
        <f>+C35</f>
        <v>16085</v>
      </c>
    </row>
    <row r="107" spans="1:4" x14ac:dyDescent="0.35">
      <c r="A107" s="2" t="s">
        <v>149</v>
      </c>
      <c r="B107" s="5">
        <f>+B38+B42</f>
        <v>583709</v>
      </c>
      <c r="C107" s="5">
        <f>+C38+C42</f>
        <v>692730</v>
      </c>
      <c r="D107" s="2" t="s">
        <v>146</v>
      </c>
    </row>
    <row r="108" spans="1:4" x14ac:dyDescent="0.35">
      <c r="A108" s="2" t="s">
        <v>145</v>
      </c>
      <c r="B108" s="5">
        <f>+B78+B41</f>
        <v>33796</v>
      </c>
      <c r="C108" s="5">
        <f>+C78+C41</f>
        <v>17529</v>
      </c>
      <c r="D108" s="2" t="s">
        <v>114</v>
      </c>
    </row>
    <row r="109" spans="1:4" x14ac:dyDescent="0.35">
      <c r="A109" s="2" t="s">
        <v>152</v>
      </c>
      <c r="B109" s="5">
        <f>+B105+B107</f>
        <v>1249531</v>
      </c>
      <c r="C109" s="5">
        <f>+C105+C107</f>
        <v>776077</v>
      </c>
      <c r="D109" s="2" t="s">
        <v>146</v>
      </c>
    </row>
    <row r="112" spans="1:4" x14ac:dyDescent="0.35">
      <c r="A112" s="7" t="s">
        <v>84</v>
      </c>
      <c r="B112" s="5">
        <f>+B104+B106+B108+B109</f>
        <v>2561977.9</v>
      </c>
      <c r="C112" s="5">
        <f>+C104+C106+C108+C109</f>
        <v>2001561.4724999999</v>
      </c>
    </row>
    <row r="113" spans="1:9" x14ac:dyDescent="0.35">
      <c r="A113" s="33" t="s">
        <v>116</v>
      </c>
      <c r="B113" s="34">
        <f>+B102-B112</f>
        <v>0.10000000009313226</v>
      </c>
      <c r="C113" s="34">
        <f>+C102-C112</f>
        <v>-0.47249999991618097</v>
      </c>
    </row>
    <row r="114" spans="1:9" x14ac:dyDescent="0.35">
      <c r="B114" s="5"/>
      <c r="C114" s="5"/>
    </row>
    <row r="115" spans="1:9" x14ac:dyDescent="0.35">
      <c r="A115" s="1" t="s">
        <v>121</v>
      </c>
      <c r="B115" s="5"/>
      <c r="C115" s="5"/>
    </row>
    <row r="116" spans="1:9" x14ac:dyDescent="0.35">
      <c r="A116" s="2" t="s">
        <v>85</v>
      </c>
      <c r="B116" s="27">
        <f>B68/B104</f>
        <v>0.14236325163084587</v>
      </c>
      <c r="C116" s="27">
        <f>C68/C104</f>
        <v>9.152176768939968E-2</v>
      </c>
      <c r="D116" s="2" t="s">
        <v>86</v>
      </c>
    </row>
    <row r="117" spans="1:9" x14ac:dyDescent="0.35">
      <c r="B117" s="27"/>
      <c r="C117" s="27"/>
    </row>
    <row r="118" spans="1:9" ht="17.5" x14ac:dyDescent="0.4">
      <c r="A118" s="1" t="s">
        <v>87</v>
      </c>
      <c r="B118" s="30"/>
      <c r="C118" s="5"/>
      <c r="D118" s="37" t="s">
        <v>124</v>
      </c>
      <c r="F118" s="30"/>
    </row>
    <row r="119" spans="1:9" x14ac:dyDescent="0.35">
      <c r="A119" s="2" t="s">
        <v>126</v>
      </c>
      <c r="B119" s="27">
        <f>B64/B102</f>
        <v>0.11830351392556845</v>
      </c>
      <c r="C119" s="27">
        <f>C64/C102</f>
        <v>8.7416166681904786E-2</v>
      </c>
      <c r="D119" s="2" t="s">
        <v>88</v>
      </c>
    </row>
    <row r="120" spans="1:9" x14ac:dyDescent="0.35">
      <c r="A120" s="2" t="s">
        <v>155</v>
      </c>
      <c r="B120" s="27">
        <f>B65/(B109+B108+B106)</f>
        <v>4.0726257817047508E-2</v>
      </c>
      <c r="C120" s="27">
        <f>C65/(C109+C108+C106)</f>
        <v>3.6465762865092982E-2</v>
      </c>
      <c r="D120" s="2" t="s">
        <v>154</v>
      </c>
      <c r="I120" s="2" t="s">
        <v>153</v>
      </c>
    </row>
    <row r="121" spans="1:9" x14ac:dyDescent="0.35">
      <c r="A121" s="7" t="s">
        <v>89</v>
      </c>
      <c r="B121" s="27">
        <f>B119-B120</f>
        <v>7.7577256108520953E-2</v>
      </c>
      <c r="C121" s="27">
        <f>C119-C120</f>
        <v>5.0950403816811804E-2</v>
      </c>
      <c r="D121" s="2" t="s">
        <v>122</v>
      </c>
    </row>
    <row r="122" spans="1:9" x14ac:dyDescent="0.35">
      <c r="A122" s="2" t="s">
        <v>90</v>
      </c>
      <c r="B122" s="28">
        <f>(B109+B108+B106)/B104</f>
        <v>1.0966171584143776</v>
      </c>
      <c r="C122" s="28">
        <f>(C109+C108+C106)/C104</f>
        <v>0.67934479348384058</v>
      </c>
      <c r="D122" s="2" t="s">
        <v>91</v>
      </c>
    </row>
    <row r="123" spans="1:9" x14ac:dyDescent="0.35">
      <c r="A123" s="2" t="s">
        <v>92</v>
      </c>
      <c r="B123" s="27">
        <f>B121*B122</f>
        <v>8.5072550151310669E-2</v>
      </c>
      <c r="C123" s="27">
        <f>C121*C122</f>
        <v>3.4612891558850299E-2</v>
      </c>
      <c r="D123" s="2" t="s">
        <v>123</v>
      </c>
    </row>
    <row r="124" spans="1:9" x14ac:dyDescent="0.35">
      <c r="A124" s="2" t="s">
        <v>156</v>
      </c>
      <c r="B124" s="27">
        <f>B67/B66</f>
        <v>0.30000000000000004</v>
      </c>
      <c r="C124" s="27">
        <f>C67/C66</f>
        <v>0.25</v>
      </c>
      <c r="D124" s="2" t="s">
        <v>93</v>
      </c>
    </row>
    <row r="125" spans="1:9" ht="15.5" x14ac:dyDescent="0.35">
      <c r="A125" s="2" t="s">
        <v>85</v>
      </c>
      <c r="B125" s="27">
        <f>(B119+B121*B122)*(1-B124)</f>
        <v>0.14236324485381538</v>
      </c>
      <c r="C125" s="27">
        <f>(C119+C121*C122)*(1-C124)</f>
        <v>9.1521793680566316E-2</v>
      </c>
      <c r="D125" s="37" t="s">
        <v>125</v>
      </c>
    </row>
    <row r="126" spans="1:9" x14ac:dyDescent="0.35">
      <c r="A126" s="33" t="s">
        <v>116</v>
      </c>
      <c r="B126" s="36">
        <f>+B116-B125</f>
        <v>6.7770304923442382E-9</v>
      </c>
      <c r="C126" s="36">
        <f>+C116-C125</f>
        <v>-2.5991166635597196E-8</v>
      </c>
    </row>
    <row r="127" spans="1:9" x14ac:dyDescent="0.35">
      <c r="B127" s="27"/>
      <c r="C127" s="27"/>
      <c r="D127" s="2" t="s">
        <v>157</v>
      </c>
    </row>
    <row r="128" spans="1:9" x14ac:dyDescent="0.35">
      <c r="A128" s="2" t="s">
        <v>94</v>
      </c>
      <c r="B128" s="27">
        <f>B119*(1-B124)</f>
        <v>8.2812459747897915E-2</v>
      </c>
      <c r="C128" s="27">
        <f>C119*(1-C124)</f>
        <v>6.5562125011428593E-2</v>
      </c>
      <c r="D128" s="2" t="s">
        <v>95</v>
      </c>
    </row>
    <row r="129" spans="1:4" x14ac:dyDescent="0.35">
      <c r="A129" s="2" t="s">
        <v>96</v>
      </c>
      <c r="B129" s="27">
        <f>+B125-B128</f>
        <v>5.9550785105917464E-2</v>
      </c>
      <c r="C129" s="27">
        <f>+C125-C128</f>
        <v>2.5959668669137723E-2</v>
      </c>
    </row>
    <row r="130" spans="1:4" x14ac:dyDescent="0.35">
      <c r="B130" s="27"/>
      <c r="C130" s="27"/>
    </row>
    <row r="131" spans="1:4" x14ac:dyDescent="0.35">
      <c r="A131" s="2" t="s">
        <v>97</v>
      </c>
      <c r="B131" s="5"/>
      <c r="C131" s="5"/>
    </row>
    <row r="132" spans="1:4" x14ac:dyDescent="0.35">
      <c r="A132" s="2" t="s">
        <v>98</v>
      </c>
      <c r="B132" s="27">
        <f>B64/B53</f>
        <v>0.23029113584541239</v>
      </c>
      <c r="C132" s="27">
        <f>C64/C53</f>
        <v>0.17826708765580779</v>
      </c>
      <c r="D132" s="2" t="s">
        <v>99</v>
      </c>
    </row>
    <row r="133" spans="1:4" x14ac:dyDescent="0.35">
      <c r="A133" s="2" t="s">
        <v>100</v>
      </c>
      <c r="B133" s="28">
        <f>B53/B102</f>
        <v>0.51371284218677915</v>
      </c>
      <c r="C133" s="28">
        <f>C53/C102</f>
        <v>0.49036626912694642</v>
      </c>
      <c r="D133" s="2" t="s">
        <v>101</v>
      </c>
    </row>
    <row r="134" spans="1:4" x14ac:dyDescent="0.35">
      <c r="A134" s="2" t="s">
        <v>126</v>
      </c>
      <c r="B134" s="27">
        <f>B132*B133</f>
        <v>0.11830351392556845</v>
      </c>
      <c r="C134" s="27">
        <f>C132*C133</f>
        <v>8.7416166681904786E-2</v>
      </c>
    </row>
    <row r="135" spans="1:4" x14ac:dyDescent="0.35">
      <c r="A135" s="2" t="s">
        <v>127</v>
      </c>
      <c r="B135" s="27">
        <f>+B134*(1-B124)</f>
        <v>8.2812459747897915E-2</v>
      </c>
      <c r="C135" s="27">
        <f>+C134*(1-C124)</f>
        <v>6.5562125011428593E-2</v>
      </c>
    </row>
    <row r="136" spans="1:4" x14ac:dyDescent="0.35">
      <c r="B136" s="5"/>
      <c r="C136" s="5"/>
    </row>
    <row r="137" spans="1:4" x14ac:dyDescent="0.35">
      <c r="A137" s="1" t="s">
        <v>102</v>
      </c>
      <c r="B137" s="1">
        <f>+B97</f>
        <v>2018</v>
      </c>
      <c r="C137" s="1">
        <f>+C97</f>
        <v>2019</v>
      </c>
    </row>
    <row r="138" spans="1:4" x14ac:dyDescent="0.35">
      <c r="A138" s="2" t="s">
        <v>128</v>
      </c>
      <c r="B138" s="5">
        <f>B53/365</f>
        <v>3605.8109589041096</v>
      </c>
      <c r="C138" s="5">
        <f>C53/365</f>
        <v>2689.0356164383561</v>
      </c>
      <c r="D138" s="10" t="s">
        <v>129</v>
      </c>
    </row>
    <row r="139" spans="1:4" x14ac:dyDescent="0.35">
      <c r="A139" s="2" t="s">
        <v>133</v>
      </c>
      <c r="B139" s="5"/>
      <c r="C139" s="5"/>
    </row>
    <row r="140" spans="1:4" x14ac:dyDescent="0.35">
      <c r="A140" s="7" t="s">
        <v>130</v>
      </c>
      <c r="B140" s="5">
        <f>B82/B$138</f>
        <v>39.354253902186805</v>
      </c>
      <c r="C140" s="5">
        <f>C82/C$138</f>
        <v>44.927631029304187</v>
      </c>
    </row>
    <row r="141" spans="1:4" x14ac:dyDescent="0.35">
      <c r="A141" s="7" t="s">
        <v>103</v>
      </c>
      <c r="B141" s="5">
        <f t="shared" ref="B141" si="0">B83/B$138</f>
        <v>52.892955890833747</v>
      </c>
      <c r="C141" s="5">
        <f>C83/C$138</f>
        <v>65.877892772068819</v>
      </c>
    </row>
    <row r="142" spans="1:4" x14ac:dyDescent="0.35">
      <c r="A142" s="7" t="s">
        <v>104</v>
      </c>
      <c r="B142" s="5">
        <f t="shared" ref="B142" si="1">B84/B$138</f>
        <v>0.32974551731945617</v>
      </c>
      <c r="C142" s="5">
        <f>C84/C$138</f>
        <v>0.50352624253946521</v>
      </c>
    </row>
    <row r="143" spans="1:4" x14ac:dyDescent="0.35">
      <c r="A143" s="7" t="s">
        <v>105</v>
      </c>
      <c r="B143" s="5">
        <f t="shared" ref="B143" si="2">B85/B$138</f>
        <v>3.5537082076799931</v>
      </c>
      <c r="C143" s="5">
        <f>C85/C$138</f>
        <v>16.05668580068426</v>
      </c>
    </row>
    <row r="144" spans="1:4" x14ac:dyDescent="0.35">
      <c r="A144" s="7" t="s">
        <v>131</v>
      </c>
      <c r="B144" s="5">
        <f t="shared" ref="B144" si="3">B86/B$138</f>
        <v>5.9692535868662535</v>
      </c>
      <c r="C144" s="5">
        <f>C86/C$138</f>
        <v>6.7648787873230516</v>
      </c>
    </row>
    <row r="145" spans="1:9" x14ac:dyDescent="0.35">
      <c r="A145" s="7" t="s">
        <v>136</v>
      </c>
      <c r="B145" s="5">
        <f t="shared" ref="B145" si="4">B87/B$138</f>
        <v>34.056139215163348</v>
      </c>
      <c r="C145" s="5">
        <f>C87/C$138</f>
        <v>45.406613156623855</v>
      </c>
    </row>
    <row r="146" spans="1:9" x14ac:dyDescent="0.35">
      <c r="A146" s="8" t="s">
        <v>132</v>
      </c>
      <c r="B146" s="5">
        <f>SUM(B140:B145)</f>
        <v>136.1560563200496</v>
      </c>
      <c r="C146" s="5">
        <f>SUM(C140:C145)</f>
        <v>179.53722778854362</v>
      </c>
    </row>
    <row r="147" spans="1:9" x14ac:dyDescent="0.35">
      <c r="A147" s="38" t="s">
        <v>134</v>
      </c>
      <c r="B147" s="5"/>
      <c r="C147" s="5"/>
    </row>
    <row r="148" spans="1:9" x14ac:dyDescent="0.35">
      <c r="A148" s="7" t="s">
        <v>106</v>
      </c>
      <c r="B148" s="5">
        <f>B89/B$138</f>
        <v>1.9257803803753606</v>
      </c>
      <c r="C148" s="5">
        <f>C89/C$138</f>
        <v>0.84305316974665256</v>
      </c>
    </row>
    <row r="149" spans="1:9" x14ac:dyDescent="0.35">
      <c r="A149" s="7" t="s">
        <v>107</v>
      </c>
      <c r="B149" s="5">
        <f t="shared" ref="B149" si="5">B90/B$138</f>
        <v>29.51679974713571</v>
      </c>
      <c r="C149" s="5">
        <f>C90/C$138</f>
        <v>34.892062948676411</v>
      </c>
    </row>
    <row r="150" spans="1:9" x14ac:dyDescent="0.35">
      <c r="A150" s="7" t="s">
        <v>108</v>
      </c>
      <c r="B150" s="5">
        <f t="shared" ref="B150" si="6">B91/B$138</f>
        <v>14.517954656144838</v>
      </c>
      <c r="C150" s="5">
        <f>C91/C$138</f>
        <v>31.50051248194087</v>
      </c>
    </row>
    <row r="151" spans="1:9" x14ac:dyDescent="0.35">
      <c r="A151" s="7" t="s">
        <v>135</v>
      </c>
      <c r="B151" s="5">
        <f t="shared" ref="B151" si="7">B92/B$138</f>
        <v>3.0439754399481505</v>
      </c>
      <c r="C151" s="5">
        <f>C92/C$138</f>
        <v>7.2631987023916507</v>
      </c>
    </row>
    <row r="152" spans="1:9" x14ac:dyDescent="0.35">
      <c r="A152" s="7" t="s">
        <v>109</v>
      </c>
      <c r="B152" s="5">
        <f t="shared" ref="B152" si="8">B93/B$138</f>
        <v>24.515982952935179</v>
      </c>
      <c r="C152" s="5">
        <f>C93/C$138</f>
        <v>29.862006850752625</v>
      </c>
    </row>
    <row r="153" spans="1:9" x14ac:dyDescent="0.35">
      <c r="A153" s="8" t="s">
        <v>137</v>
      </c>
      <c r="B153" s="5">
        <f>SUM(B148:B152)</f>
        <v>73.520493176539233</v>
      </c>
      <c r="C153" s="5">
        <f>SUM(C148:C152)</f>
        <v>104.36083415350821</v>
      </c>
    </row>
    <row r="154" spans="1:9" x14ac:dyDescent="0.35">
      <c r="A154" s="7" t="s">
        <v>110</v>
      </c>
      <c r="B154" s="5">
        <f>B146-B153</f>
        <v>62.635563143510367</v>
      </c>
      <c r="C154" s="5">
        <f>C146-C153</f>
        <v>75.17639363503541</v>
      </c>
      <c r="D154" s="2" t="s">
        <v>138</v>
      </c>
    </row>
    <row r="155" spans="1:9" x14ac:dyDescent="0.35">
      <c r="B155" s="28"/>
      <c r="C155" s="5"/>
    </row>
    <row r="156" spans="1:9" x14ac:dyDescent="0.35">
      <c r="A156" s="2" t="s">
        <v>139</v>
      </c>
      <c r="B156" s="29">
        <f>+B53/B95</f>
        <v>5.8273603953031188</v>
      </c>
      <c r="C156" s="29">
        <f>+C53/C95</f>
        <v>4.855247536507183</v>
      </c>
      <c r="D156" s="2" t="s">
        <v>140</v>
      </c>
      <c r="I156" s="2" t="s">
        <v>142</v>
      </c>
    </row>
    <row r="158" spans="1:9" x14ac:dyDescent="0.35">
      <c r="A158" s="2" t="s">
        <v>111</v>
      </c>
      <c r="B158" s="29">
        <f>B53/B98</f>
        <v>0.61875065230820725</v>
      </c>
      <c r="C158" s="29">
        <f>C53/C98</f>
        <v>0.57121224113528013</v>
      </c>
      <c r="D158" s="2" t="s">
        <v>141</v>
      </c>
      <c r="I158" s="2" t="s">
        <v>143</v>
      </c>
    </row>
  </sheetData>
  <mergeCells count="2">
    <mergeCell ref="F80:H80"/>
    <mergeCell ref="A48:C48"/>
  </mergeCells>
  <phoneticPr fontId="2" type="noConversion"/>
  <pageMargins left="0.51181102362204722" right="0.27559055118110237" top="0.98425196850393704" bottom="0.98425196850393704" header="0.51181102362204722" footer="0.51181102362204722"/>
  <pageSetup paperSize="9" orientation="portrait" horizontalDpi="300" verticalDpi="300" r:id="rId1"/>
  <headerFooter alignWithMargins="0">
    <oddHeader>&amp;LI.S.E.G.&amp;CPOS-GRADUAÇÃO ANÁLISE FINANCEIRA&amp;ROutubro 2019</oddHeader>
    <oddFooter>&amp;R&amp;P</oddFooter>
  </headerFooter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CEE50967BDA45BD9115280A2AEE39" ma:contentTypeVersion="10" ma:contentTypeDescription="Create a new document." ma:contentTypeScope="" ma:versionID="a870198e0bf47334bbc38f37f32e30e3">
  <xsd:schema xmlns:xsd="http://www.w3.org/2001/XMLSchema" xmlns:xs="http://www.w3.org/2001/XMLSchema" xmlns:p="http://schemas.microsoft.com/office/2006/metadata/properties" xmlns:ns3="cc717987-0b32-45f3-8c53-7a73edeea497" targetNamespace="http://schemas.microsoft.com/office/2006/metadata/properties" ma:root="true" ma:fieldsID="c3715dfebd2ca36090439a5f949a6d69" ns3:_="">
    <xsd:import namespace="cc717987-0b32-45f3-8c53-7a73edeea4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17987-0b32-45f3-8c53-7a73edeea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2501F-CA3C-4418-9968-3B154BD0E7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074A7-3B22-44D2-8109-6C1A2252F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17987-0b32-45f3-8c53-7a73edeea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Resolucao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Manager/>
  <Company>JCNeves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Carvalho das Neves</dc:creator>
  <cp:keywords/>
  <dc:description/>
  <cp:lastModifiedBy>Administrator</cp:lastModifiedBy>
  <cp:revision/>
  <dcterms:created xsi:type="dcterms:W3CDTF">1997-09-09T21:47:38Z</dcterms:created>
  <dcterms:modified xsi:type="dcterms:W3CDTF">2020-10-25T17:21:05Z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