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disegutl-my.sharepoint.com/personal/jcneves_iseg_ulisboa_pt/Documents/Teaching-Portuguese/Aulas-ISEG/Gestao Financeira - GEI/GF-GEI-2020/Tutorials-GEI-2020/"/>
    </mc:Choice>
  </mc:AlternateContent>
  <xr:revisionPtr revIDLastSave="1" documentId="8_{F7B5E217-27B2-484C-9E6D-6AEBB597E21D}" xr6:coauthVersionLast="36" xr6:coauthVersionMax="36" xr10:uidLastSave="{B7CB8A77-005F-47F9-9A4A-BCAF30ECD0AE}"/>
  <bookViews>
    <workbookView xWindow="0" yWindow="0" windowWidth="19200" windowHeight="6930" xr2:uid="{14C6B46F-9EC6-41B7-BDA4-2AF1DBD8F930}"/>
  </bookViews>
  <sheets>
    <sheet name="Printex" sheetId="2" r:id="rId1"/>
    <sheet name="Sheet2" sheetId="4" r:id="rId2"/>
    <sheet name="Sheet1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M40" i="2"/>
  <c r="D35" i="2" l="1"/>
  <c r="D34" i="2"/>
  <c r="F33" i="2"/>
  <c r="G33" i="2" s="1"/>
  <c r="E33" i="2"/>
  <c r="D33" i="2"/>
  <c r="D51" i="2" l="1"/>
  <c r="D52" i="2" s="1"/>
  <c r="D50" i="2"/>
  <c r="D36" i="2" s="1"/>
  <c r="E35" i="2"/>
  <c r="E51" i="2" s="1"/>
  <c r="E52" i="2" s="1"/>
  <c r="E50" i="2"/>
  <c r="E36" i="2" s="1"/>
  <c r="C29" i="2"/>
  <c r="C65" i="2" s="1"/>
  <c r="H33" i="2"/>
  <c r="D61" i="2"/>
  <c r="C52" i="2"/>
  <c r="D54" i="2"/>
  <c r="E54" i="2" s="1"/>
  <c r="F54" i="2" s="1"/>
  <c r="G54" i="2" s="1"/>
  <c r="H54" i="2" s="1"/>
  <c r="I54" i="2" s="1"/>
  <c r="J54" i="2" s="1"/>
  <c r="K54" i="2" s="1"/>
  <c r="L54" i="2" s="1"/>
  <c r="M54" i="2" s="1"/>
  <c r="C53" i="2"/>
  <c r="M61" i="2"/>
  <c r="L61" i="2"/>
  <c r="K61" i="2"/>
  <c r="J61" i="2"/>
  <c r="I61" i="2"/>
  <c r="M55" i="2"/>
  <c r="M60" i="2" s="1"/>
  <c r="L55" i="2"/>
  <c r="L60" i="2" s="1"/>
  <c r="K55" i="2"/>
  <c r="K60" i="2" s="1"/>
  <c r="J55" i="2"/>
  <c r="J60" i="2" s="1"/>
  <c r="I55" i="2"/>
  <c r="I60" i="2" s="1"/>
  <c r="M38" i="2"/>
  <c r="C36" i="2"/>
  <c r="H61" i="2"/>
  <c r="G61" i="2"/>
  <c r="F61" i="2"/>
  <c r="E61" i="2"/>
  <c r="C61" i="2"/>
  <c r="H55" i="2"/>
  <c r="H60" i="2" s="1"/>
  <c r="G55" i="2"/>
  <c r="G60" i="2" s="1"/>
  <c r="F55" i="2"/>
  <c r="F60" i="2" s="1"/>
  <c r="E55" i="2"/>
  <c r="E60" i="2" s="1"/>
  <c r="D55" i="2"/>
  <c r="D60" i="2" l="1"/>
  <c r="N55" i="2"/>
  <c r="C56" i="2"/>
  <c r="F35" i="2"/>
  <c r="G35" i="2" s="1"/>
  <c r="H35" i="2" s="1"/>
  <c r="I35" i="2" s="1"/>
  <c r="J35" i="2" s="1"/>
  <c r="K35" i="2" s="1"/>
  <c r="L35" i="2" s="1"/>
  <c r="M35" i="2" s="1"/>
  <c r="F34" i="2"/>
  <c r="D56" i="2"/>
  <c r="E56" i="2"/>
  <c r="C57" i="2"/>
  <c r="M39" i="2"/>
  <c r="M41" i="2" s="1"/>
  <c r="M42" i="2" s="1"/>
  <c r="M43" i="2" s="1"/>
  <c r="E62" i="2"/>
  <c r="D62" i="2"/>
  <c r="C62" i="2"/>
  <c r="H51" i="2" l="1"/>
  <c r="H52" i="2" s="1"/>
  <c r="G51" i="2"/>
  <c r="G52" i="2" s="1"/>
  <c r="F51" i="2"/>
  <c r="F52" i="2" s="1"/>
  <c r="G34" i="2"/>
  <c r="F50" i="2"/>
  <c r="M44" i="2"/>
  <c r="M45" i="2" s="1"/>
  <c r="I33" i="2"/>
  <c r="I51" i="2" s="1"/>
  <c r="I52" i="2" s="1"/>
  <c r="D57" i="2"/>
  <c r="C58" i="2"/>
  <c r="C59" i="2" s="1"/>
  <c r="C63" i="2" s="1"/>
  <c r="F56" i="2" l="1"/>
  <c r="F36" i="2"/>
  <c r="H34" i="2"/>
  <c r="G50" i="2"/>
  <c r="J33" i="2"/>
  <c r="J51" i="2" s="1"/>
  <c r="J52" i="2" s="1"/>
  <c r="C70" i="2"/>
  <c r="C75" i="2"/>
  <c r="D58" i="2"/>
  <c r="D59" i="2" s="1"/>
  <c r="D63" i="2" s="1"/>
  <c r="E57" i="2"/>
  <c r="G56" i="2" l="1"/>
  <c r="G36" i="2"/>
  <c r="G62" i="2" s="1"/>
  <c r="I34" i="2"/>
  <c r="H50" i="2"/>
  <c r="F62" i="2"/>
  <c r="K33" i="2"/>
  <c r="K51" i="2" s="1"/>
  <c r="K52" i="2" s="1"/>
  <c r="D75" i="2"/>
  <c r="E58" i="2"/>
  <c r="E59" i="2" s="1"/>
  <c r="E63" i="2" s="1"/>
  <c r="E75" i="2" s="1"/>
  <c r="F57" i="2"/>
  <c r="H56" i="2" l="1"/>
  <c r="H36" i="2"/>
  <c r="H62" i="2" s="1"/>
  <c r="J34" i="2"/>
  <c r="I50" i="2"/>
  <c r="L33" i="2"/>
  <c r="L51" i="2" s="1"/>
  <c r="L52" i="2" s="1"/>
  <c r="G57" i="2"/>
  <c r="F58" i="2"/>
  <c r="F59" i="2" s="1"/>
  <c r="F63" i="2" s="1"/>
  <c r="F75" i="2" s="1"/>
  <c r="I56" i="2" l="1"/>
  <c r="I36" i="2"/>
  <c r="I62" i="2" s="1"/>
  <c r="K34" i="2"/>
  <c r="J50" i="2"/>
  <c r="M33" i="2"/>
  <c r="M51" i="2" s="1"/>
  <c r="M52" i="2" s="1"/>
  <c r="G58" i="2"/>
  <c r="G59" i="2" s="1"/>
  <c r="G63" i="2" s="1"/>
  <c r="H57" i="2"/>
  <c r="J56" i="2" l="1"/>
  <c r="J36" i="2"/>
  <c r="L34" i="2"/>
  <c r="K50" i="2"/>
  <c r="G75" i="2"/>
  <c r="H58" i="2"/>
  <c r="H59" i="2" s="1"/>
  <c r="H63" i="2" s="1"/>
  <c r="H75" i="2" s="1"/>
  <c r="I57" i="2"/>
  <c r="M34" i="2" l="1"/>
  <c r="M50" i="2" s="1"/>
  <c r="L50" i="2"/>
  <c r="K36" i="2"/>
  <c r="K62" i="2" s="1"/>
  <c r="K56" i="2"/>
  <c r="J62" i="2"/>
  <c r="M36" i="2"/>
  <c r="M64" i="2" s="1"/>
  <c r="C69" i="2" s="1"/>
  <c r="M56" i="2"/>
  <c r="I58" i="2"/>
  <c r="I59" i="2" s="1"/>
  <c r="I63" i="2" s="1"/>
  <c r="J57" i="2"/>
  <c r="L56" i="2" l="1"/>
  <c r="L36" i="2"/>
  <c r="I75" i="2"/>
  <c r="J58" i="2"/>
  <c r="J59" i="2" s="1"/>
  <c r="J63" i="2" s="1"/>
  <c r="J75" i="2" s="1"/>
  <c r="K57" i="2"/>
  <c r="L62" i="2" l="1"/>
  <c r="M62" i="2"/>
  <c r="K58" i="2"/>
  <c r="K59" i="2" s="1"/>
  <c r="K63" i="2" s="1"/>
  <c r="K75" i="2" s="1"/>
  <c r="L57" i="2"/>
  <c r="L58" i="2" l="1"/>
  <c r="L59" i="2" s="1"/>
  <c r="L63" i="2" s="1"/>
  <c r="L75" i="2" s="1"/>
  <c r="M57" i="2"/>
  <c r="M58" i="2" s="1"/>
  <c r="M59" i="2" s="1"/>
  <c r="M63" i="2" s="1"/>
  <c r="M75" i="2" l="1"/>
  <c r="C76" i="2" s="1"/>
  <c r="C77" i="2" s="1"/>
  <c r="C68" i="2"/>
  <c r="C71" i="2" s="1"/>
  <c r="C78" i="2" l="1"/>
  <c r="C79" i="2"/>
</calcChain>
</file>

<file path=xl/sharedStrings.xml><?xml version="1.0" encoding="utf-8"?>
<sst xmlns="http://schemas.openxmlformats.org/spreadsheetml/2006/main" count="157" uniqueCount="144">
  <si>
    <t>INPUT DATA</t>
  </si>
  <si>
    <t>CAPEX, INITIAL INVESTMENT AND TERMINAL VALUE</t>
  </si>
  <si>
    <t>Terreno</t>
  </si>
  <si>
    <t>Land</t>
  </si>
  <si>
    <t>Edificios e construções</t>
  </si>
  <si>
    <t>Building</t>
  </si>
  <si>
    <t>Equipamentos</t>
  </si>
  <si>
    <t>Equipment</t>
  </si>
  <si>
    <t>Vida util do edificio</t>
  </si>
  <si>
    <t>Building in years</t>
  </si>
  <si>
    <t>Vida util do equipamento</t>
  </si>
  <si>
    <t>Equipment in years</t>
  </si>
  <si>
    <t>Salvage value at the end of year 10</t>
  </si>
  <si>
    <t>Taxa de impostos sobre mais valias</t>
  </si>
  <si>
    <t>Tax rate on capital gains</t>
  </si>
  <si>
    <t>Capital for tax purposes</t>
  </si>
  <si>
    <t>Average inflation rate</t>
  </si>
  <si>
    <t>Rácio NFM/vendas</t>
  </si>
  <si>
    <t>Ratio  WCR/sales</t>
  </si>
  <si>
    <t>Inventário inicial</t>
  </si>
  <si>
    <t>Inventories before starting operations</t>
  </si>
  <si>
    <t>Years:</t>
  </si>
  <si>
    <t>4...10</t>
  </si>
  <si>
    <t>Revenues:</t>
  </si>
  <si>
    <t>Quantidades vendidas</t>
  </si>
  <si>
    <t>Quantity</t>
  </si>
  <si>
    <t>…</t>
  </si>
  <si>
    <t>Preço de venda</t>
  </si>
  <si>
    <t>Selling price</t>
  </si>
  <si>
    <t>Costs:</t>
  </si>
  <si>
    <t>I&amp;D ano -1</t>
  </si>
  <si>
    <t>R&amp;D Year -1</t>
  </si>
  <si>
    <t>sunk cost</t>
  </si>
  <si>
    <t>I&amp;D ano 0</t>
  </si>
  <si>
    <t>R&amp;D Year 0</t>
  </si>
  <si>
    <t>Custos indiretos</t>
  </si>
  <si>
    <t>Overhead costs</t>
  </si>
  <si>
    <t>Corporate policy. This not incremental cash flow</t>
  </si>
  <si>
    <t>Custos operacionais variáveis por unidade</t>
  </si>
  <si>
    <t>Variable operational expenses per unit</t>
  </si>
  <si>
    <t>Incremental fixed expenses per year</t>
  </si>
  <si>
    <t>Cost of capital assumptions:</t>
  </si>
  <si>
    <t>Taxa de custo de capital</t>
  </si>
  <si>
    <t>Cost of equity</t>
  </si>
  <si>
    <t>Taxa de custo da dívida</t>
  </si>
  <si>
    <t>Cost of debt</t>
  </si>
  <si>
    <t>Endividamento</t>
  </si>
  <si>
    <t>Debt ratio</t>
  </si>
  <si>
    <t>Taxa de imposto sobre lucros</t>
  </si>
  <si>
    <t>Income tax rate</t>
  </si>
  <si>
    <t>Auxiliary Calculations:</t>
  </si>
  <si>
    <t>in thousand euros</t>
  </si>
  <si>
    <t>Units sold</t>
  </si>
  <si>
    <t>WCR</t>
  </si>
  <si>
    <t>Terminal value:</t>
  </si>
  <si>
    <t>Salvage value</t>
  </si>
  <si>
    <t>Accounting value</t>
  </si>
  <si>
    <t>Currency devaluation coefficient</t>
  </si>
  <si>
    <t>Accounting value for tax purpose</t>
  </si>
  <si>
    <t>Capital gains (losses)</t>
  </si>
  <si>
    <t>Capital gains (losses) for tax purposes</t>
  </si>
  <si>
    <t>Capital gains tax</t>
  </si>
  <si>
    <t>Salvage value net of taxes</t>
  </si>
  <si>
    <t>MODEL</t>
  </si>
  <si>
    <t>Vendas</t>
  </si>
  <si>
    <t>Revenues</t>
  </si>
  <si>
    <t>Variable operational expenses</t>
  </si>
  <si>
    <t>Contribution margin</t>
  </si>
  <si>
    <t>R&amp;D</t>
  </si>
  <si>
    <t>Other fixed expenses</t>
  </si>
  <si>
    <t>Depreciation</t>
  </si>
  <si>
    <t>Operational income</t>
  </si>
  <si>
    <t>Taxable operational income</t>
  </si>
  <si>
    <t>Income tax</t>
  </si>
  <si>
    <t>NOPAT</t>
  </si>
  <si>
    <t>Add depreciation</t>
  </si>
  <si>
    <t>Deduct CAPEX</t>
  </si>
  <si>
    <t>Deduct Increase of WCR</t>
  </si>
  <si>
    <t>Project Net Operational Cash Flow</t>
  </si>
  <si>
    <t>Terminal cash flow</t>
  </si>
  <si>
    <t>WACC</t>
  </si>
  <si>
    <r>
      <t>wacc= 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*w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+k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*w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*(1-t)</t>
    </r>
  </si>
  <si>
    <t>PV of future cash flows</t>
  </si>
  <si>
    <t>PV of terminal value</t>
  </si>
  <si>
    <t>Initial outflow</t>
  </si>
  <si>
    <t>Net Present Value</t>
  </si>
  <si>
    <t>NPV&gt;0</t>
  </si>
  <si>
    <t>Additional criteria</t>
  </si>
  <si>
    <t>Projetct Cash Flow</t>
  </si>
  <si>
    <t>IRR</t>
  </si>
  <si>
    <t>IRR&gt;WACC</t>
  </si>
  <si>
    <t>IRR/WACC</t>
  </si>
  <si>
    <t>&gt;1</t>
  </si>
  <si>
    <t>IRR/WACC&gt;1</t>
  </si>
  <si>
    <r>
      <t>Profitability index = GPV/I</t>
    </r>
    <r>
      <rPr>
        <vertAlign val="subscript"/>
        <sz val="11"/>
        <color theme="1"/>
        <rFont val="Calibri"/>
        <family val="2"/>
        <scheme val="minor"/>
      </rPr>
      <t>0</t>
    </r>
  </si>
  <si>
    <t>PI&gt;1</t>
  </si>
  <si>
    <r>
      <t>or PI=1+NPV/I</t>
    </r>
    <r>
      <rPr>
        <vertAlign val="subscript"/>
        <sz val="11"/>
        <color theme="1"/>
        <rFont val="Calibri"/>
        <family val="2"/>
        <scheme val="minor"/>
      </rPr>
      <t>0</t>
    </r>
  </si>
  <si>
    <r>
      <t>=1+NPV/I</t>
    </r>
    <r>
      <rPr>
        <vertAlign val="subscript"/>
        <sz val="11"/>
        <color theme="1"/>
        <rFont val="Calibri"/>
        <family val="2"/>
        <scheme val="minor"/>
      </rPr>
      <t>0</t>
    </r>
  </si>
  <si>
    <t>DADOS DE ENTRADA</t>
  </si>
  <si>
    <t>INVESTIMENTO</t>
  </si>
  <si>
    <t>Valor residual no ano 10</t>
  </si>
  <si>
    <t>Parte tributada das mais valias</t>
  </si>
  <si>
    <t>Taxa de inflação anual</t>
  </si>
  <si>
    <t>Anos:</t>
  </si>
  <si>
    <t>Gastos:</t>
  </si>
  <si>
    <t>Rendimentos:</t>
  </si>
  <si>
    <t>Custos fixos incrementais anuais</t>
  </si>
  <si>
    <t>Pressupostos para o custo médio de capital:</t>
  </si>
  <si>
    <t>Necessidades em fundo de maneio</t>
  </si>
  <si>
    <t>Valor residual líquido</t>
  </si>
  <si>
    <t>Valor de venda</t>
  </si>
  <si>
    <t>Valor contabilistico</t>
  </si>
  <si>
    <t>Coeficiente de desvalorização monetária</t>
  </si>
  <si>
    <t>Valor fiscal</t>
  </si>
  <si>
    <t>Mais (menos) valias</t>
  </si>
  <si>
    <t>Mais (menos) valias fiscais</t>
  </si>
  <si>
    <t>Imposto sobre mais valias</t>
  </si>
  <si>
    <t>MODELO</t>
  </si>
  <si>
    <t>Custos operacionais variáveis</t>
  </si>
  <si>
    <t>Margem de contribuição</t>
  </si>
  <si>
    <t>I&amp;D</t>
  </si>
  <si>
    <t>Outras despesas fixas</t>
  </si>
  <si>
    <t>Depreciações</t>
  </si>
  <si>
    <t>Resultado operacional</t>
  </si>
  <si>
    <t>Resultado operacional fiscal</t>
  </si>
  <si>
    <t>Imposto sobre o resultado operacional fiscal</t>
  </si>
  <si>
    <t>Resultado operacional líquido de impostos</t>
  </si>
  <si>
    <t>Soma Depreciações</t>
  </si>
  <si>
    <t>Subtrai Investimentos</t>
  </si>
  <si>
    <t>Subtrai acréscimos de NFM</t>
  </si>
  <si>
    <t>Fluxo de caixa operacional líquido</t>
  </si>
  <si>
    <t>Custo médio do capital</t>
  </si>
  <si>
    <t>Valor atual dos fluxos de caixa futuros</t>
  </si>
  <si>
    <t>Valor atual do valor residual líquido</t>
  </si>
  <si>
    <t>Investimento inicial</t>
  </si>
  <si>
    <t>Valor atual liquido</t>
  </si>
  <si>
    <t>Valor atual líquido</t>
  </si>
  <si>
    <t>Outros critérios</t>
  </si>
  <si>
    <t>Fluxo de caixa liquido de impostos do projeto</t>
  </si>
  <si>
    <t>TIR</t>
  </si>
  <si>
    <t>TIR/WACC</t>
  </si>
  <si>
    <t>Indice de rendibilidade</t>
  </si>
  <si>
    <r>
      <t>or IR=1+VAL/I</t>
    </r>
    <r>
      <rPr>
        <vertAlign val="subscript"/>
        <sz val="11"/>
        <color theme="1"/>
        <rFont val="Calibri"/>
        <family val="2"/>
        <scheme val="minor"/>
      </rPr>
      <t>0</t>
    </r>
  </si>
  <si>
    <t>Cálculos 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</si>
</sst>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€-2]\ #,##0_);\([$€-2]\ 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38" fontId="0" fillId="0" borderId="0" xfId="0" applyNumberFormat="1"/>
    <xf numFmtId="164" fontId="0" fillId="0" borderId="0" xfId="1" applyNumberFormat="1" applyFont="1"/>
    <xf numFmtId="38" fontId="3" fillId="0" borderId="0" xfId="0" applyNumberFormat="1" applyFont="1" applyAlignment="1">
      <alignment horizontal="right"/>
    </xf>
    <xf numFmtId="10" fontId="0" fillId="0" borderId="0" xfId="1" applyNumberFormat="1" applyFont="1"/>
    <xf numFmtId="38" fontId="1" fillId="0" borderId="0" xfId="0" applyNumberFormat="1" applyFont="1"/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165" fontId="4" fillId="0" borderId="4" xfId="0" applyNumberFormat="1" applyFont="1" applyBorder="1"/>
    <xf numFmtId="0" fontId="0" fillId="0" borderId="5" xfId="0" applyBorder="1"/>
    <xf numFmtId="165" fontId="4" fillId="0" borderId="6" xfId="0" applyNumberFormat="1" applyFont="1" applyBorder="1"/>
    <xf numFmtId="38" fontId="4" fillId="0" borderId="6" xfId="0" applyNumberFormat="1" applyFont="1" applyBorder="1"/>
    <xf numFmtId="164" fontId="4" fillId="0" borderId="6" xfId="1" applyNumberFormat="1" applyFont="1" applyBorder="1"/>
    <xf numFmtId="0" fontId="0" fillId="0" borderId="7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10" xfId="1" applyNumberFormat="1" applyFont="1" applyBorder="1"/>
    <xf numFmtId="38" fontId="0" fillId="0" borderId="1" xfId="0" applyNumberFormat="1" applyBorder="1"/>
    <xf numFmtId="38" fontId="0" fillId="0" borderId="11" xfId="0" applyNumberFormat="1" applyBorder="1"/>
    <xf numFmtId="38" fontId="1" fillId="0" borderId="11" xfId="0" applyNumberFormat="1" applyFont="1" applyBorder="1"/>
    <xf numFmtId="38" fontId="0" fillId="0" borderId="6" xfId="0" applyNumberFormat="1" applyBorder="1"/>
    <xf numFmtId="38" fontId="4" fillId="0" borderId="12" xfId="0" applyNumberFormat="1" applyFont="1" applyBorder="1"/>
    <xf numFmtId="38" fontId="4" fillId="0" borderId="8" xfId="0" applyNumberFormat="1" applyFont="1" applyBorder="1" applyAlignment="1">
      <alignment horizontal="center"/>
    </xf>
    <xf numFmtId="0" fontId="0" fillId="0" borderId="14" xfId="0" applyBorder="1"/>
    <xf numFmtId="38" fontId="4" fillId="0" borderId="15" xfId="0" applyNumberFormat="1" applyFont="1" applyBorder="1"/>
    <xf numFmtId="38" fontId="0" fillId="0" borderId="4" xfId="0" applyNumberFormat="1" applyBorder="1"/>
    <xf numFmtId="10" fontId="4" fillId="0" borderId="6" xfId="0" applyNumberFormat="1" applyFont="1" applyBorder="1"/>
    <xf numFmtId="165" fontId="0" fillId="0" borderId="1" xfId="0" applyNumberFormat="1" applyBorder="1"/>
    <xf numFmtId="38" fontId="0" fillId="0" borderId="16" xfId="0" applyNumberFormat="1" applyBorder="1"/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38" fontId="0" fillId="0" borderId="13" xfId="0" applyNumberFormat="1" applyBorder="1"/>
    <xf numFmtId="165" fontId="0" fillId="0" borderId="6" xfId="0" applyNumberFormat="1" applyBorder="1"/>
    <xf numFmtId="38" fontId="0" fillId="0" borderId="15" xfId="0" applyNumberFormat="1" applyBorder="1"/>
    <xf numFmtId="38" fontId="0" fillId="0" borderId="12" xfId="0" applyNumberFormat="1" applyBorder="1"/>
    <xf numFmtId="38" fontId="0" fillId="0" borderId="8" xfId="0" applyNumberFormat="1" applyBorder="1"/>
    <xf numFmtId="0" fontId="0" fillId="0" borderId="17" xfId="0" applyFont="1" applyBorder="1" applyAlignment="1">
      <alignment horizontal="left" indent="1"/>
    </xf>
    <xf numFmtId="38" fontId="0" fillId="0" borderId="17" xfId="0" applyNumberFormat="1" applyBorder="1"/>
    <xf numFmtId="38" fontId="0" fillId="0" borderId="18" xfId="0" applyNumberFormat="1" applyBorder="1"/>
    <xf numFmtId="40" fontId="0" fillId="0" borderId="18" xfId="0" applyNumberFormat="1" applyBorder="1"/>
    <xf numFmtId="38" fontId="0" fillId="0" borderId="19" xfId="0" applyNumberFormat="1" applyBorder="1"/>
    <xf numFmtId="38" fontId="0" fillId="0" borderId="10" xfId="0" applyNumberFormat="1" applyBorder="1"/>
    <xf numFmtId="38" fontId="0" fillId="0" borderId="2" xfId="0" applyNumberFormat="1" applyBorder="1"/>
    <xf numFmtId="0" fontId="0" fillId="0" borderId="20" xfId="0" applyBorder="1"/>
    <xf numFmtId="10" fontId="0" fillId="0" borderId="21" xfId="1" applyNumberFormat="1" applyFont="1" applyBorder="1"/>
    <xf numFmtId="164" fontId="0" fillId="0" borderId="4" xfId="1" applyNumberFormat="1" applyFont="1" applyBorder="1"/>
    <xf numFmtId="40" fontId="0" fillId="0" borderId="6" xfId="0" applyNumberFormat="1" applyBorder="1"/>
    <xf numFmtId="40" fontId="0" fillId="0" borderId="8" xfId="0" applyNumberFormat="1" applyBorder="1"/>
    <xf numFmtId="38" fontId="0" fillId="0" borderId="25" xfId="0" applyNumberFormat="1" applyBorder="1"/>
    <xf numFmtId="38" fontId="0" fillId="0" borderId="21" xfId="0" applyNumberFormat="1" applyBorder="1"/>
    <xf numFmtId="0" fontId="1" fillId="0" borderId="22" xfId="0" applyFont="1" applyBorder="1" applyAlignment="1">
      <alignment horizontal="right"/>
    </xf>
    <xf numFmtId="38" fontId="1" fillId="0" borderId="23" xfId="0" applyNumberFormat="1" applyFont="1" applyBorder="1"/>
    <xf numFmtId="38" fontId="1" fillId="0" borderId="24" xfId="0" applyNumberFormat="1" applyFont="1" applyBorder="1"/>
    <xf numFmtId="0" fontId="0" fillId="0" borderId="26" xfId="0" applyBorder="1"/>
    <xf numFmtId="38" fontId="0" fillId="0" borderId="27" xfId="0" applyNumberFormat="1" applyBorder="1"/>
    <xf numFmtId="0" fontId="1" fillId="0" borderId="28" xfId="0" applyFont="1" applyBorder="1"/>
    <xf numFmtId="0" fontId="0" fillId="0" borderId="29" xfId="0" applyBorder="1"/>
    <xf numFmtId="0" fontId="0" fillId="0" borderId="16" xfId="0" applyBorder="1"/>
    <xf numFmtId="38" fontId="0" fillId="0" borderId="30" xfId="0" applyNumberFormat="1" applyBorder="1"/>
    <xf numFmtId="0" fontId="1" fillId="0" borderId="20" xfId="0" applyFont="1" applyBorder="1" applyAlignment="1">
      <alignment horizontal="right"/>
    </xf>
    <xf numFmtId="38" fontId="1" fillId="0" borderId="31" xfId="0" applyNumberFormat="1" applyFont="1" applyBorder="1"/>
    <xf numFmtId="38" fontId="1" fillId="0" borderId="25" xfId="0" applyNumberFormat="1" applyFont="1" applyBorder="1"/>
    <xf numFmtId="38" fontId="1" fillId="0" borderId="21" xfId="0" applyNumberFormat="1" applyFont="1" applyBorder="1" applyAlignment="1">
      <alignment horizontal="center"/>
    </xf>
    <xf numFmtId="38" fontId="1" fillId="0" borderId="4" xfId="0" applyNumberFormat="1" applyFont="1" applyBorder="1"/>
    <xf numFmtId="0" fontId="0" fillId="0" borderId="7" xfId="0" applyFont="1" applyBorder="1"/>
    <xf numFmtId="0" fontId="0" fillId="0" borderId="28" xfId="0" applyBorder="1"/>
    <xf numFmtId="38" fontId="1" fillId="0" borderId="21" xfId="0" applyNumberFormat="1" applyFont="1" applyBorder="1"/>
    <xf numFmtId="164" fontId="4" fillId="0" borderId="27" xfId="1" applyNumberFormat="1" applyFont="1" applyBorder="1"/>
    <xf numFmtId="165" fontId="4" fillId="0" borderId="10" xfId="0" applyNumberFormat="1" applyFont="1" applyBorder="1"/>
    <xf numFmtId="164" fontId="4" fillId="0" borderId="30" xfId="1" applyNumberFormat="1" applyFont="1" applyBorder="1"/>
    <xf numFmtId="0" fontId="1" fillId="0" borderId="3" xfId="0" applyFont="1" applyFill="1" applyBorder="1"/>
    <xf numFmtId="0" fontId="0" fillId="0" borderId="32" xfId="0" applyBorder="1"/>
    <xf numFmtId="0" fontId="1" fillId="0" borderId="3" xfId="0" applyFont="1" applyBorder="1"/>
    <xf numFmtId="38" fontId="4" fillId="0" borderId="4" xfId="0" applyNumberFormat="1" applyFont="1" applyBorder="1"/>
    <xf numFmtId="165" fontId="4" fillId="0" borderId="8" xfId="0" applyNumberFormat="1" applyFont="1" applyBorder="1"/>
    <xf numFmtId="38" fontId="0" fillId="0" borderId="0" xfId="0" quotePrefix="1" applyNumberFormat="1"/>
    <xf numFmtId="0" fontId="0" fillId="0" borderId="7" xfId="0" applyBorder="1" applyAlignment="1">
      <alignment horizontal="left" indent="1"/>
    </xf>
    <xf numFmtId="165" fontId="7" fillId="0" borderId="6" xfId="0" applyNumberFormat="1" applyFont="1" applyBorder="1"/>
    <xf numFmtId="165" fontId="7" fillId="0" borderId="8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DC8F-3540-4F31-9ECE-D6769E322069}">
  <sheetPr>
    <pageSetUpPr fitToPage="1"/>
  </sheetPr>
  <dimension ref="A1:P139"/>
  <sheetViews>
    <sheetView tabSelected="1" zoomScale="110" zoomScaleNormal="110" workbookViewId="0">
      <selection activeCell="A31" sqref="A31"/>
    </sheetView>
  </sheetViews>
  <sheetFormatPr defaultRowHeight="14.5" x14ac:dyDescent="0.35"/>
  <cols>
    <col min="1" max="1" width="38.26953125" bestFit="1" customWidth="1"/>
    <col min="2" max="2" width="33.453125" bestFit="1" customWidth="1"/>
    <col min="3" max="3" width="12" bestFit="1" customWidth="1"/>
    <col min="4" max="4" width="9.54296875" bestFit="1" customWidth="1"/>
    <col min="8" max="8" width="9.54296875" bestFit="1" customWidth="1"/>
  </cols>
  <sheetData>
    <row r="1" spans="1:16" ht="18.5" x14ac:dyDescent="0.45">
      <c r="A1" s="7" t="s">
        <v>98</v>
      </c>
      <c r="B1" s="7" t="s">
        <v>0</v>
      </c>
    </row>
    <row r="2" spans="1:16" ht="15" thickBot="1" x14ac:dyDescent="0.4">
      <c r="A2" s="1" t="s">
        <v>99</v>
      </c>
      <c r="B2" s="1" t="s">
        <v>1</v>
      </c>
    </row>
    <row r="3" spans="1:16" x14ac:dyDescent="0.35">
      <c r="A3" s="9" t="s">
        <v>2</v>
      </c>
      <c r="B3" s="9" t="s">
        <v>3</v>
      </c>
      <c r="C3" s="10">
        <v>1500000</v>
      </c>
      <c r="D3" s="2"/>
      <c r="E3" s="2"/>
      <c r="F3" s="2"/>
      <c r="G3" s="2"/>
      <c r="H3" s="2"/>
    </row>
    <row r="4" spans="1:16" x14ac:dyDescent="0.35">
      <c r="A4" s="11" t="s">
        <v>4</v>
      </c>
      <c r="B4" s="11" t="s">
        <v>5</v>
      </c>
      <c r="C4" s="12">
        <v>4000000</v>
      </c>
      <c r="D4" s="2"/>
      <c r="E4" s="2"/>
      <c r="F4" s="2"/>
      <c r="G4" s="2"/>
      <c r="H4" s="2"/>
    </row>
    <row r="5" spans="1:16" x14ac:dyDescent="0.35">
      <c r="A5" s="11" t="s">
        <v>6</v>
      </c>
      <c r="B5" s="11" t="s">
        <v>7</v>
      </c>
      <c r="C5" s="12">
        <v>2000000</v>
      </c>
      <c r="D5" s="2"/>
      <c r="E5" s="2"/>
      <c r="F5" s="2"/>
      <c r="G5" s="2"/>
      <c r="H5" s="2"/>
    </row>
    <row r="6" spans="1:16" x14ac:dyDescent="0.35">
      <c r="A6" s="11" t="s">
        <v>8</v>
      </c>
      <c r="B6" s="11" t="s">
        <v>9</v>
      </c>
      <c r="C6" s="13">
        <v>40</v>
      </c>
      <c r="D6" s="2"/>
      <c r="E6" s="2"/>
      <c r="F6" s="2"/>
      <c r="G6" s="2"/>
      <c r="H6" s="2"/>
    </row>
    <row r="7" spans="1:16" x14ac:dyDescent="0.35">
      <c r="A7" s="11" t="s">
        <v>10</v>
      </c>
      <c r="B7" s="11" t="s">
        <v>11</v>
      </c>
      <c r="C7" s="13">
        <v>10</v>
      </c>
      <c r="D7" s="2"/>
      <c r="E7" s="2"/>
      <c r="F7" s="2"/>
      <c r="G7" s="2"/>
      <c r="H7" s="2"/>
    </row>
    <row r="8" spans="1:16" x14ac:dyDescent="0.35">
      <c r="A8" s="11" t="s">
        <v>100</v>
      </c>
      <c r="B8" s="11" t="s">
        <v>12</v>
      </c>
      <c r="C8" s="12">
        <v>5000000</v>
      </c>
      <c r="D8" s="2"/>
      <c r="E8" s="2"/>
      <c r="F8" s="2"/>
      <c r="G8" s="2"/>
      <c r="H8" s="2"/>
    </row>
    <row r="9" spans="1:16" x14ac:dyDescent="0.35">
      <c r="A9" s="11" t="s">
        <v>13</v>
      </c>
      <c r="B9" s="11" t="s">
        <v>14</v>
      </c>
      <c r="C9" s="14">
        <v>0.255</v>
      </c>
      <c r="D9" s="2"/>
      <c r="E9" s="2"/>
      <c r="F9" s="2"/>
      <c r="G9" s="2"/>
      <c r="H9" s="2"/>
    </row>
    <row r="10" spans="1:16" x14ac:dyDescent="0.35">
      <c r="A10" s="11" t="s">
        <v>101</v>
      </c>
      <c r="B10" s="11" t="s">
        <v>15</v>
      </c>
      <c r="C10" s="14">
        <v>0.5</v>
      </c>
      <c r="D10" s="2"/>
      <c r="E10" s="2"/>
      <c r="F10" s="2"/>
      <c r="G10" s="2"/>
      <c r="H10" s="2"/>
    </row>
    <row r="11" spans="1:16" x14ac:dyDescent="0.35">
      <c r="A11" s="11" t="s">
        <v>102</v>
      </c>
      <c r="B11" s="11" t="s">
        <v>16</v>
      </c>
      <c r="C11" s="14">
        <v>0.01</v>
      </c>
      <c r="D11" s="2"/>
      <c r="E11" s="2"/>
      <c r="F11" s="2"/>
      <c r="G11" s="2"/>
      <c r="H11" s="2"/>
    </row>
    <row r="12" spans="1:16" x14ac:dyDescent="0.35">
      <c r="A12" s="17" t="s">
        <v>17</v>
      </c>
      <c r="B12" s="17" t="s">
        <v>18</v>
      </c>
      <c r="C12" s="18">
        <v>0.3</v>
      </c>
      <c r="D12" s="2"/>
      <c r="E12" s="2"/>
      <c r="F12" s="2"/>
      <c r="G12" s="2"/>
      <c r="H12" s="2"/>
    </row>
    <row r="13" spans="1:16" ht="15" thickBot="1" x14ac:dyDescent="0.4">
      <c r="A13" s="15" t="s">
        <v>19</v>
      </c>
      <c r="B13" s="15" t="s">
        <v>20</v>
      </c>
      <c r="C13" s="76">
        <v>280000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thickBot="1" x14ac:dyDescent="0.4">
      <c r="A14" s="55"/>
      <c r="B14" s="55"/>
      <c r="C14" s="69"/>
      <c r="D14" s="2"/>
      <c r="E14" s="2"/>
      <c r="F14" s="2"/>
      <c r="G14" s="2"/>
      <c r="H14" s="2"/>
    </row>
    <row r="15" spans="1:16" ht="15" thickBot="1" x14ac:dyDescent="0.4">
      <c r="A15" s="61" t="s">
        <v>103</v>
      </c>
      <c r="B15" s="61" t="s">
        <v>21</v>
      </c>
      <c r="C15" s="63">
        <v>0</v>
      </c>
      <c r="D15" s="62">
        <v>1</v>
      </c>
      <c r="E15" s="63">
        <v>2</v>
      </c>
      <c r="F15" s="63">
        <v>3</v>
      </c>
      <c r="G15" s="64" t="s">
        <v>22</v>
      </c>
      <c r="H15" s="2"/>
    </row>
    <row r="16" spans="1:16" x14ac:dyDescent="0.35">
      <c r="A16" s="57" t="s">
        <v>105</v>
      </c>
      <c r="B16" s="57" t="s">
        <v>23</v>
      </c>
      <c r="C16" s="30"/>
      <c r="D16" s="58"/>
      <c r="E16" s="59"/>
      <c r="F16" s="59"/>
      <c r="G16" s="60"/>
      <c r="H16" s="2"/>
    </row>
    <row r="17" spans="1:16" ht="15" thickBot="1" x14ac:dyDescent="0.4">
      <c r="A17" s="11" t="s">
        <v>24</v>
      </c>
      <c r="B17" s="11" t="s">
        <v>25</v>
      </c>
      <c r="C17" s="8"/>
      <c r="D17" s="26">
        <v>2000</v>
      </c>
      <c r="E17" s="23">
        <v>2500</v>
      </c>
      <c r="F17" s="23">
        <v>3000</v>
      </c>
      <c r="G17" s="24" t="s">
        <v>26</v>
      </c>
    </row>
    <row r="18" spans="1:16" ht="15" thickBot="1" x14ac:dyDescent="0.4">
      <c r="A18" s="17" t="s">
        <v>27</v>
      </c>
      <c r="B18" s="17" t="s">
        <v>28</v>
      </c>
      <c r="C18" s="70">
        <v>700</v>
      </c>
    </row>
    <row r="19" spans="1:16" x14ac:dyDescent="0.35">
      <c r="A19" s="74" t="s">
        <v>104</v>
      </c>
      <c r="B19" s="74" t="s">
        <v>29</v>
      </c>
      <c r="C19" s="75"/>
      <c r="D19" s="2"/>
      <c r="E19" s="2"/>
      <c r="F19" s="2"/>
      <c r="G19" s="2"/>
      <c r="H19" s="2"/>
    </row>
    <row r="20" spans="1:16" x14ac:dyDescent="0.35">
      <c r="A20" s="11" t="s">
        <v>30</v>
      </c>
      <c r="B20" s="11" t="s">
        <v>31</v>
      </c>
      <c r="C20" s="12">
        <v>500000</v>
      </c>
      <c r="D20" s="2" t="s">
        <v>32</v>
      </c>
      <c r="E20" s="2"/>
      <c r="F20" s="2"/>
      <c r="G20" s="2"/>
      <c r="H20" s="2"/>
    </row>
    <row r="21" spans="1:16" x14ac:dyDescent="0.35">
      <c r="A21" s="11" t="s">
        <v>33</v>
      </c>
      <c r="B21" s="11" t="s">
        <v>34</v>
      </c>
      <c r="C21" s="12">
        <v>1500000</v>
      </c>
      <c r="D21" s="2"/>
      <c r="E21" s="2"/>
      <c r="F21" s="2"/>
      <c r="G21" s="2"/>
      <c r="H21" s="2"/>
    </row>
    <row r="22" spans="1:16" x14ac:dyDescent="0.35">
      <c r="A22" s="11" t="s">
        <v>35</v>
      </c>
      <c r="B22" s="11" t="s">
        <v>36</v>
      </c>
      <c r="C22" s="28">
        <v>3.5000000000000003E-2</v>
      </c>
      <c r="D22" t="s">
        <v>37</v>
      </c>
    </row>
    <row r="23" spans="1:16" x14ac:dyDescent="0.35">
      <c r="A23" s="11" t="s">
        <v>38</v>
      </c>
      <c r="B23" s="11" t="s">
        <v>39</v>
      </c>
      <c r="C23" s="79">
        <v>200</v>
      </c>
    </row>
    <row r="24" spans="1:16" ht="15" thickBot="1" x14ac:dyDescent="0.4">
      <c r="A24" s="15" t="s">
        <v>106</v>
      </c>
      <c r="B24" s="15" t="s">
        <v>40</v>
      </c>
      <c r="C24" s="80">
        <v>80000</v>
      </c>
    </row>
    <row r="25" spans="1:16" x14ac:dyDescent="0.35">
      <c r="A25" s="72" t="s">
        <v>107</v>
      </c>
      <c r="B25" s="72" t="s">
        <v>41</v>
      </c>
      <c r="C25" s="73"/>
    </row>
    <row r="26" spans="1:16" x14ac:dyDescent="0.35">
      <c r="A26" s="67" t="s">
        <v>42</v>
      </c>
      <c r="B26" s="67" t="s">
        <v>43</v>
      </c>
      <c r="C26" s="71">
        <v>0.1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35">
      <c r="A27" s="11" t="s">
        <v>44</v>
      </c>
      <c r="B27" s="11" t="s">
        <v>45</v>
      </c>
      <c r="C27" s="14">
        <v>0.04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35">
      <c r="A28" s="11" t="s">
        <v>46</v>
      </c>
      <c r="B28" s="11" t="s">
        <v>47</v>
      </c>
      <c r="C28" s="14">
        <v>0.45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thickBot="1" x14ac:dyDescent="0.4">
      <c r="A29" s="15" t="s">
        <v>48</v>
      </c>
      <c r="B29" s="15" t="s">
        <v>49</v>
      </c>
      <c r="C29" s="16">
        <f>21%+1.5%+3%</f>
        <v>0.255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9" thickBot="1" x14ac:dyDescent="0.5">
      <c r="A31" s="7" t="s">
        <v>143</v>
      </c>
      <c r="B31" s="7" t="s">
        <v>50</v>
      </c>
      <c r="C31" s="3"/>
      <c r="D31" s="2"/>
      <c r="E31" s="2"/>
      <c r="F31" s="2"/>
      <c r="G31" s="2"/>
      <c r="H31" s="2"/>
      <c r="I31" s="2"/>
      <c r="J31" s="2"/>
      <c r="K31" s="2"/>
      <c r="L31" s="2"/>
      <c r="M31" s="4" t="s">
        <v>51</v>
      </c>
      <c r="N31" s="2"/>
      <c r="O31" s="2"/>
      <c r="P31" s="2"/>
    </row>
    <row r="32" spans="1:16" ht="15" thickBot="1" x14ac:dyDescent="0.4">
      <c r="A32" s="9"/>
      <c r="B32" s="9"/>
      <c r="C32" s="21">
        <v>0</v>
      </c>
      <c r="D32" s="21">
        <v>1</v>
      </c>
      <c r="E32" s="21">
        <v>2</v>
      </c>
      <c r="F32" s="21">
        <v>3</v>
      </c>
      <c r="G32" s="21">
        <v>4</v>
      </c>
      <c r="H32" s="21">
        <v>5</v>
      </c>
      <c r="I32" s="21">
        <v>6</v>
      </c>
      <c r="J32" s="21">
        <v>7</v>
      </c>
      <c r="K32" s="21">
        <v>8</v>
      </c>
      <c r="L32" s="21">
        <v>9</v>
      </c>
      <c r="M32" s="65">
        <v>10</v>
      </c>
      <c r="N32" s="2"/>
      <c r="O32" s="2"/>
      <c r="P32" s="2"/>
    </row>
    <row r="33" spans="1:16" x14ac:dyDescent="0.35">
      <c r="A33" s="11" t="s">
        <v>24</v>
      </c>
      <c r="B33" s="9" t="s">
        <v>52</v>
      </c>
      <c r="C33" s="33"/>
      <c r="D33" s="20">
        <f>+D17</f>
        <v>2000</v>
      </c>
      <c r="E33" s="20">
        <f t="shared" ref="E33:F33" si="0">+E17</f>
        <v>2500</v>
      </c>
      <c r="F33" s="20">
        <f t="shared" si="0"/>
        <v>3000</v>
      </c>
      <c r="G33" s="20">
        <f>+F33</f>
        <v>3000</v>
      </c>
      <c r="H33" s="20">
        <f>+G33</f>
        <v>3000</v>
      </c>
      <c r="I33" s="20">
        <f t="shared" ref="I33:M33" si="1">+H33</f>
        <v>3000</v>
      </c>
      <c r="J33" s="20">
        <f t="shared" si="1"/>
        <v>3000</v>
      </c>
      <c r="K33" s="20">
        <f t="shared" si="1"/>
        <v>3000</v>
      </c>
      <c r="L33" s="20">
        <f t="shared" si="1"/>
        <v>3000</v>
      </c>
      <c r="M33" s="27">
        <f t="shared" si="1"/>
        <v>3000</v>
      </c>
    </row>
    <row r="34" spans="1:16" x14ac:dyDescent="0.35">
      <c r="A34" s="17" t="s">
        <v>27</v>
      </c>
      <c r="B34" s="11" t="s">
        <v>28</v>
      </c>
      <c r="C34" s="25"/>
      <c r="D34" s="29">
        <f>+C18</f>
        <v>700</v>
      </c>
      <c r="E34" s="29">
        <f>+D34*(1+$C$11)</f>
        <v>707</v>
      </c>
      <c r="F34" s="29">
        <f t="shared" ref="F34:M34" si="2">+E34*(1+$C$11)</f>
        <v>714.07</v>
      </c>
      <c r="G34" s="29">
        <f t="shared" si="2"/>
        <v>721.21070000000009</v>
      </c>
      <c r="H34" s="29">
        <f t="shared" si="2"/>
        <v>728.42280700000015</v>
      </c>
      <c r="I34" s="29">
        <f t="shared" si="2"/>
        <v>735.70703507000019</v>
      </c>
      <c r="J34" s="29">
        <f t="shared" si="2"/>
        <v>743.06410542070023</v>
      </c>
      <c r="K34" s="29">
        <f t="shared" si="2"/>
        <v>750.49474647490729</v>
      </c>
      <c r="L34" s="29">
        <f t="shared" si="2"/>
        <v>757.99969393965637</v>
      </c>
      <c r="M34" s="34">
        <f t="shared" si="2"/>
        <v>765.57969087905292</v>
      </c>
      <c r="N34" s="2"/>
      <c r="O34" s="2"/>
      <c r="P34" s="2"/>
    </row>
    <row r="35" spans="1:16" x14ac:dyDescent="0.35">
      <c r="A35" s="11" t="s">
        <v>38</v>
      </c>
      <c r="B35" s="11" t="s">
        <v>39</v>
      </c>
      <c r="C35" s="25"/>
      <c r="D35" s="29">
        <f>+C23</f>
        <v>200</v>
      </c>
      <c r="E35" s="29">
        <f>+D35*(1+$C$11)</f>
        <v>202</v>
      </c>
      <c r="F35" s="29">
        <f t="shared" ref="F35:M35" si="3">+E35*(1+$C$11)</f>
        <v>204.02</v>
      </c>
      <c r="G35" s="29">
        <f t="shared" si="3"/>
        <v>206.06020000000001</v>
      </c>
      <c r="H35" s="29">
        <f t="shared" si="3"/>
        <v>208.120802</v>
      </c>
      <c r="I35" s="29">
        <f t="shared" si="3"/>
        <v>210.20201001999999</v>
      </c>
      <c r="J35" s="29">
        <f t="shared" si="3"/>
        <v>212.3040301202</v>
      </c>
      <c r="K35" s="29">
        <f t="shared" si="3"/>
        <v>214.42707042140199</v>
      </c>
      <c r="L35" s="29">
        <f t="shared" si="3"/>
        <v>216.57134112561602</v>
      </c>
      <c r="M35" s="34">
        <f t="shared" si="3"/>
        <v>218.73705453687217</v>
      </c>
      <c r="N35" s="2"/>
      <c r="O35" s="2"/>
      <c r="P35" s="2"/>
    </row>
    <row r="36" spans="1:16" ht="15" thickBot="1" x14ac:dyDescent="0.4">
      <c r="A36" s="66" t="s">
        <v>108</v>
      </c>
      <c r="B36" s="66" t="s">
        <v>53</v>
      </c>
      <c r="C36" s="35">
        <f>+C13/1000</f>
        <v>280</v>
      </c>
      <c r="D36" s="36">
        <f t="shared" ref="D36:M36" si="4">+D50*$C$12</f>
        <v>420</v>
      </c>
      <c r="E36" s="36">
        <f t="shared" si="4"/>
        <v>530.25</v>
      </c>
      <c r="F36" s="36">
        <f t="shared" si="4"/>
        <v>642.66300000000001</v>
      </c>
      <c r="G36" s="36">
        <f t="shared" si="4"/>
        <v>649.08963000000006</v>
      </c>
      <c r="H36" s="36">
        <f t="shared" si="4"/>
        <v>655.5805263000002</v>
      </c>
      <c r="I36" s="36">
        <f t="shared" si="4"/>
        <v>662.13633156300023</v>
      </c>
      <c r="J36" s="36">
        <f t="shared" si="4"/>
        <v>668.75769487863033</v>
      </c>
      <c r="K36" s="36">
        <f t="shared" si="4"/>
        <v>675.44527182741649</v>
      </c>
      <c r="L36" s="36">
        <f t="shared" si="4"/>
        <v>682.19972454569063</v>
      </c>
      <c r="M36" s="37">
        <f t="shared" si="4"/>
        <v>689.02172179114768</v>
      </c>
      <c r="N36" s="2"/>
      <c r="O36" s="2"/>
      <c r="P36" s="2"/>
    </row>
    <row r="37" spans="1:16" ht="15" thickBot="1" x14ac:dyDescent="0.4">
      <c r="A37" s="6" t="s">
        <v>109</v>
      </c>
      <c r="B37" s="6" t="s">
        <v>54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4" t="s">
        <v>51</v>
      </c>
      <c r="N37" s="2"/>
      <c r="O37" s="2"/>
      <c r="P37" s="2"/>
    </row>
    <row r="38" spans="1:16" x14ac:dyDescent="0.35">
      <c r="A38" s="38" t="s">
        <v>110</v>
      </c>
      <c r="B38" s="38" t="s">
        <v>55</v>
      </c>
      <c r="C38" s="3"/>
      <c r="D38" s="2"/>
      <c r="E38" s="2"/>
      <c r="F38" s="2"/>
      <c r="G38" s="2"/>
      <c r="I38" s="2"/>
      <c r="J38" s="2"/>
      <c r="K38" s="2"/>
      <c r="L38" s="2"/>
      <c r="M38" s="39">
        <f>+C8/1000</f>
        <v>5000</v>
      </c>
      <c r="N38" s="2"/>
      <c r="O38" s="2"/>
      <c r="P38" s="2"/>
    </row>
    <row r="39" spans="1:16" x14ac:dyDescent="0.35">
      <c r="A39" s="31" t="s">
        <v>111</v>
      </c>
      <c r="B39" s="31" t="s">
        <v>56</v>
      </c>
      <c r="C39" s="3"/>
      <c r="D39" s="2"/>
      <c r="E39" s="2"/>
      <c r="F39" s="2"/>
      <c r="G39" s="2"/>
      <c r="I39" s="2"/>
      <c r="J39" s="2"/>
      <c r="K39" s="2"/>
      <c r="L39" s="2"/>
      <c r="M39" s="40">
        <f>SUM(C3:C5)/1000+SUM(D55:M55)</f>
        <v>4500</v>
      </c>
      <c r="N39" s="2"/>
      <c r="O39" s="2"/>
      <c r="P39" s="2"/>
    </row>
    <row r="40" spans="1:16" x14ac:dyDescent="0.35">
      <c r="A40" s="31" t="s">
        <v>112</v>
      </c>
      <c r="B40" s="31" t="s">
        <v>57</v>
      </c>
      <c r="C40" s="3"/>
      <c r="D40" s="2"/>
      <c r="E40" s="2"/>
      <c r="F40" s="2"/>
      <c r="G40" s="2"/>
      <c r="I40" s="2"/>
      <c r="J40" s="2"/>
      <c r="K40" s="2"/>
      <c r="L40" s="2"/>
      <c r="M40" s="41">
        <f>(1+C11)^M32</f>
        <v>1.1046221254112047</v>
      </c>
      <c r="N40" s="2"/>
      <c r="O40" s="2"/>
      <c r="P40" s="2"/>
    </row>
    <row r="41" spans="1:16" x14ac:dyDescent="0.35">
      <c r="A41" s="31" t="s">
        <v>113</v>
      </c>
      <c r="B41" s="31" t="s">
        <v>58</v>
      </c>
      <c r="C41" s="3"/>
      <c r="D41" s="2"/>
      <c r="E41" s="2"/>
      <c r="F41" s="2"/>
      <c r="G41" s="2"/>
      <c r="I41" s="2"/>
      <c r="J41" s="2"/>
      <c r="K41" s="2"/>
      <c r="L41" s="2"/>
      <c r="M41" s="40">
        <f>+M39*M40</f>
        <v>4970.799564350421</v>
      </c>
      <c r="N41" s="2"/>
      <c r="O41" s="2"/>
      <c r="P41" s="2"/>
    </row>
    <row r="42" spans="1:16" x14ac:dyDescent="0.35">
      <c r="A42" s="31" t="s">
        <v>114</v>
      </c>
      <c r="B42" s="31" t="s">
        <v>59</v>
      </c>
      <c r="C42" s="3"/>
      <c r="D42" s="2"/>
      <c r="E42" s="2"/>
      <c r="F42" s="2"/>
      <c r="G42" s="2"/>
      <c r="I42" s="2"/>
      <c r="J42" s="2"/>
      <c r="K42" s="2"/>
      <c r="L42" s="2"/>
      <c r="M42" s="40">
        <f>+M38-M41</f>
        <v>29.200435649579049</v>
      </c>
      <c r="N42" s="2"/>
      <c r="O42" s="2"/>
      <c r="P42" s="2"/>
    </row>
    <row r="43" spans="1:16" x14ac:dyDescent="0.35">
      <c r="A43" s="31" t="s">
        <v>115</v>
      </c>
      <c r="B43" s="31" t="s">
        <v>60</v>
      </c>
      <c r="C43" s="3"/>
      <c r="D43" s="2"/>
      <c r="E43" s="2"/>
      <c r="F43" s="2"/>
      <c r="G43" s="2"/>
      <c r="I43" s="2"/>
      <c r="J43" s="2"/>
      <c r="K43" s="2"/>
      <c r="L43" s="2"/>
      <c r="M43" s="40">
        <f>+M42*C10</f>
        <v>14.600217824789524</v>
      </c>
      <c r="N43" s="2"/>
      <c r="O43" s="2"/>
      <c r="P43" s="2"/>
    </row>
    <row r="44" spans="1:16" x14ac:dyDescent="0.35">
      <c r="A44" s="31" t="s">
        <v>116</v>
      </c>
      <c r="B44" s="31" t="s">
        <v>61</v>
      </c>
      <c r="C44" s="3"/>
      <c r="D44" s="2"/>
      <c r="E44" s="2"/>
      <c r="F44" s="2"/>
      <c r="G44" s="2"/>
      <c r="I44" s="2"/>
      <c r="J44" s="2"/>
      <c r="K44" s="2"/>
      <c r="L44" s="2"/>
      <c r="M44" s="40">
        <f>-M43*C9</f>
        <v>-3.723055545321329</v>
      </c>
      <c r="N44" s="2"/>
      <c r="O44" s="2"/>
      <c r="P44" s="2"/>
    </row>
    <row r="45" spans="1:16" ht="15" thickBot="1" x14ac:dyDescent="0.4">
      <c r="A45" s="32" t="s">
        <v>109</v>
      </c>
      <c r="B45" s="32" t="s">
        <v>62</v>
      </c>
      <c r="C45" s="3"/>
      <c r="D45" s="2"/>
      <c r="E45" s="2"/>
      <c r="F45" s="2"/>
      <c r="G45" s="2"/>
      <c r="I45" s="2"/>
      <c r="J45" s="2"/>
      <c r="K45" s="2"/>
      <c r="L45" s="2"/>
      <c r="M45" s="42">
        <f>+M38+M44</f>
        <v>4996.2769444546784</v>
      </c>
      <c r="N45" s="2"/>
      <c r="O45" s="2"/>
      <c r="P45" s="2"/>
    </row>
    <row r="47" spans="1:16" x14ac:dyDescent="0.35"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9" thickBot="1" x14ac:dyDescent="0.5">
      <c r="A48" s="7" t="s">
        <v>117</v>
      </c>
      <c r="B48" s="7" t="s">
        <v>63</v>
      </c>
      <c r="C48" s="2"/>
      <c r="D48" s="2"/>
      <c r="E48" s="2"/>
      <c r="F48" s="2"/>
      <c r="G48" s="2"/>
      <c r="I48" s="2"/>
      <c r="J48" s="2"/>
      <c r="K48" s="2"/>
      <c r="L48" s="2"/>
      <c r="M48" s="4" t="s">
        <v>51</v>
      </c>
      <c r="N48" s="2"/>
      <c r="O48" s="2"/>
      <c r="P48" s="2"/>
    </row>
    <row r="49" spans="1:16" ht="15" thickBot="1" x14ac:dyDescent="0.4">
      <c r="A49" s="45"/>
      <c r="B49" s="45"/>
      <c r="C49" s="63">
        <v>0</v>
      </c>
      <c r="D49" s="63">
        <v>1</v>
      </c>
      <c r="E49" s="63">
        <v>2</v>
      </c>
      <c r="F49" s="63">
        <v>3</v>
      </c>
      <c r="G49" s="63">
        <v>4</v>
      </c>
      <c r="H49" s="63">
        <v>5</v>
      </c>
      <c r="I49" s="63">
        <v>6</v>
      </c>
      <c r="J49" s="63">
        <v>7</v>
      </c>
      <c r="K49" s="63">
        <v>8</v>
      </c>
      <c r="L49" s="63">
        <v>9</v>
      </c>
      <c r="M49" s="68">
        <v>10</v>
      </c>
      <c r="N49" s="2"/>
      <c r="O49" s="2"/>
      <c r="P49" s="2"/>
    </row>
    <row r="50" spans="1:16" x14ac:dyDescent="0.35">
      <c r="A50" s="67" t="s">
        <v>64</v>
      </c>
      <c r="B50" s="67" t="s">
        <v>65</v>
      </c>
      <c r="C50" s="30"/>
      <c r="D50" s="30">
        <f t="shared" ref="D50:M50" si="5">+D33*D34/1000</f>
        <v>1400</v>
      </c>
      <c r="E50" s="30">
        <f t="shared" si="5"/>
        <v>1767.5</v>
      </c>
      <c r="F50" s="30">
        <f t="shared" si="5"/>
        <v>2142.21</v>
      </c>
      <c r="G50" s="30">
        <f t="shared" si="5"/>
        <v>2163.6321000000003</v>
      </c>
      <c r="H50" s="30">
        <f t="shared" si="5"/>
        <v>2185.2684210000007</v>
      </c>
      <c r="I50" s="30">
        <f t="shared" si="5"/>
        <v>2207.1211052100007</v>
      </c>
      <c r="J50" s="30">
        <f t="shared" si="5"/>
        <v>2229.192316262101</v>
      </c>
      <c r="K50" s="30">
        <f t="shared" si="5"/>
        <v>2251.4842394247216</v>
      </c>
      <c r="L50" s="30">
        <f t="shared" si="5"/>
        <v>2273.999081818969</v>
      </c>
      <c r="M50" s="60">
        <f t="shared" si="5"/>
        <v>2296.7390726371591</v>
      </c>
      <c r="N50" s="2"/>
      <c r="O50" s="2"/>
      <c r="P50" s="2"/>
    </row>
    <row r="51" spans="1:16" x14ac:dyDescent="0.35">
      <c r="A51" s="11" t="s">
        <v>118</v>
      </c>
      <c r="B51" s="11" t="s">
        <v>66</v>
      </c>
      <c r="C51" s="19"/>
      <c r="D51" s="19">
        <f t="shared" ref="D51:M51" si="6">-D33*D35/1000</f>
        <v>-400</v>
      </c>
      <c r="E51" s="19">
        <f t="shared" si="6"/>
        <v>-505</v>
      </c>
      <c r="F51" s="19">
        <f t="shared" si="6"/>
        <v>-612.05999999999995</v>
      </c>
      <c r="G51" s="19">
        <f t="shared" si="6"/>
        <v>-618.18060000000003</v>
      </c>
      <c r="H51" s="19">
        <f t="shared" si="6"/>
        <v>-624.36240599999996</v>
      </c>
      <c r="I51" s="19">
        <f t="shared" si="6"/>
        <v>-630.60603005999997</v>
      </c>
      <c r="J51" s="19">
        <f t="shared" si="6"/>
        <v>-636.91209036060002</v>
      </c>
      <c r="K51" s="19">
        <f t="shared" si="6"/>
        <v>-643.28121126420604</v>
      </c>
      <c r="L51" s="19">
        <f t="shared" si="6"/>
        <v>-649.7140233768481</v>
      </c>
      <c r="M51" s="22">
        <f t="shared" si="6"/>
        <v>-656.2111636106165</v>
      </c>
      <c r="N51" s="2"/>
      <c r="O51" s="2"/>
      <c r="P51" s="2"/>
    </row>
    <row r="52" spans="1:16" x14ac:dyDescent="0.35">
      <c r="A52" s="11" t="s">
        <v>119</v>
      </c>
      <c r="B52" s="11" t="s">
        <v>67</v>
      </c>
      <c r="C52" s="19">
        <f>+C50-C51</f>
        <v>0</v>
      </c>
      <c r="D52" s="19">
        <f>SUM(D50:D51)</f>
        <v>1000</v>
      </c>
      <c r="E52" s="19">
        <f t="shared" ref="E52:M52" si="7">SUM(E50:E51)</f>
        <v>1262.5</v>
      </c>
      <c r="F52" s="19">
        <f t="shared" si="7"/>
        <v>1530.15</v>
      </c>
      <c r="G52" s="19">
        <f t="shared" si="7"/>
        <v>1545.4515000000001</v>
      </c>
      <c r="H52" s="19">
        <f t="shared" si="7"/>
        <v>1560.9060150000007</v>
      </c>
      <c r="I52" s="19">
        <f t="shared" si="7"/>
        <v>1576.5150751500007</v>
      </c>
      <c r="J52" s="19">
        <f t="shared" si="7"/>
        <v>1592.2802259015011</v>
      </c>
      <c r="K52" s="19">
        <f t="shared" si="7"/>
        <v>1608.2030281605157</v>
      </c>
      <c r="L52" s="19">
        <f t="shared" si="7"/>
        <v>1624.2850584421208</v>
      </c>
      <c r="M52" s="19">
        <f t="shared" si="7"/>
        <v>1640.5279090265426</v>
      </c>
      <c r="N52" s="2"/>
      <c r="O52" s="2"/>
      <c r="P52" s="2"/>
    </row>
    <row r="53" spans="1:16" x14ac:dyDescent="0.35">
      <c r="A53" s="11" t="s">
        <v>120</v>
      </c>
      <c r="B53" s="11" t="s">
        <v>68</v>
      </c>
      <c r="C53" s="19">
        <f>-C21/1000</f>
        <v>-1500</v>
      </c>
      <c r="D53" s="19"/>
      <c r="E53" s="19"/>
      <c r="F53" s="19"/>
      <c r="G53" s="19"/>
      <c r="H53" s="19"/>
      <c r="I53" s="19"/>
      <c r="J53" s="19"/>
      <c r="K53" s="19"/>
      <c r="L53" s="19"/>
      <c r="M53" s="22"/>
      <c r="N53" s="2"/>
      <c r="O53" s="2"/>
      <c r="P53" s="2"/>
    </row>
    <row r="54" spans="1:16" x14ac:dyDescent="0.35">
      <c r="A54" s="11" t="s">
        <v>121</v>
      </c>
      <c r="B54" s="11" t="s">
        <v>69</v>
      </c>
      <c r="C54" s="19"/>
      <c r="D54" s="19">
        <f>-$C$24/1000</f>
        <v>-80</v>
      </c>
      <c r="E54" s="19">
        <f>+D54*(1+$C$11)</f>
        <v>-80.8</v>
      </c>
      <c r="F54" s="19">
        <f t="shared" ref="F54:M54" si="8">+E54*(1+$C$11)</f>
        <v>-81.608000000000004</v>
      </c>
      <c r="G54" s="19">
        <f t="shared" si="8"/>
        <v>-82.424080000000004</v>
      </c>
      <c r="H54" s="19">
        <f t="shared" si="8"/>
        <v>-83.248320800000002</v>
      </c>
      <c r="I54" s="19">
        <f t="shared" si="8"/>
        <v>-84.080804008000001</v>
      </c>
      <c r="J54" s="19">
        <f t="shared" si="8"/>
        <v>-84.921612048080007</v>
      </c>
      <c r="K54" s="19">
        <f t="shared" si="8"/>
        <v>-85.770828168560811</v>
      </c>
      <c r="L54" s="19">
        <f t="shared" si="8"/>
        <v>-86.628536450246415</v>
      </c>
      <c r="M54" s="22">
        <f t="shared" si="8"/>
        <v>-87.494821814748875</v>
      </c>
      <c r="N54" s="2"/>
      <c r="O54" s="2"/>
      <c r="P54" s="2"/>
    </row>
    <row r="55" spans="1:16" x14ac:dyDescent="0.35">
      <c r="A55" s="11" t="s">
        <v>122</v>
      </c>
      <c r="B55" s="11" t="s">
        <v>70</v>
      </c>
      <c r="C55" s="19"/>
      <c r="D55" s="19">
        <f>-($C$4/$C$6+$C$5/$C$7)/1000</f>
        <v>-300</v>
      </c>
      <c r="E55" s="19">
        <f t="shared" ref="E55:M55" si="9">-($C$4/$C$6+$C$5/$C$7)/1000</f>
        <v>-300</v>
      </c>
      <c r="F55" s="19">
        <f t="shared" si="9"/>
        <v>-300</v>
      </c>
      <c r="G55" s="19">
        <f t="shared" si="9"/>
        <v>-300</v>
      </c>
      <c r="H55" s="19">
        <f t="shared" si="9"/>
        <v>-300</v>
      </c>
      <c r="I55" s="19">
        <f t="shared" si="9"/>
        <v>-300</v>
      </c>
      <c r="J55" s="19">
        <f t="shared" si="9"/>
        <v>-300</v>
      </c>
      <c r="K55" s="19">
        <f t="shared" si="9"/>
        <v>-300</v>
      </c>
      <c r="L55" s="19">
        <f t="shared" si="9"/>
        <v>-300</v>
      </c>
      <c r="M55" s="22">
        <f t="shared" si="9"/>
        <v>-300</v>
      </c>
      <c r="N55" s="2">
        <f>SUM(D55:M55)</f>
        <v>-3000</v>
      </c>
      <c r="O55" s="2"/>
      <c r="P55" s="2"/>
    </row>
    <row r="56" spans="1:16" x14ac:dyDescent="0.35">
      <c r="A56" s="11" t="s">
        <v>123</v>
      </c>
      <c r="B56" s="11" t="s">
        <v>71</v>
      </c>
      <c r="C56" s="19">
        <f>SUM(C52:C55)</f>
        <v>-1500</v>
      </c>
      <c r="D56" s="19">
        <f>SUM(D52:D55)</f>
        <v>620</v>
      </c>
      <c r="E56" s="19">
        <f t="shared" ref="E56:M56" si="10">SUM(E52:E55)</f>
        <v>881.7</v>
      </c>
      <c r="F56" s="19">
        <f t="shared" si="10"/>
        <v>1148.5420000000001</v>
      </c>
      <c r="G56" s="19">
        <f t="shared" si="10"/>
        <v>1163.0274200000001</v>
      </c>
      <c r="H56" s="19">
        <f t="shared" si="10"/>
        <v>1177.6576942000006</v>
      </c>
      <c r="I56" s="19">
        <f t="shared" si="10"/>
        <v>1192.4342711420006</v>
      </c>
      <c r="J56" s="19">
        <f t="shared" si="10"/>
        <v>1207.358613853421</v>
      </c>
      <c r="K56" s="19">
        <f t="shared" si="10"/>
        <v>1222.4321999919548</v>
      </c>
      <c r="L56" s="19">
        <f t="shared" si="10"/>
        <v>1237.6565219918743</v>
      </c>
      <c r="M56" s="22">
        <f t="shared" si="10"/>
        <v>1253.0330872117938</v>
      </c>
      <c r="N56" s="2"/>
      <c r="O56" s="2"/>
      <c r="P56" s="2"/>
    </row>
    <row r="57" spans="1:16" x14ac:dyDescent="0.35">
      <c r="A57" s="11" t="s">
        <v>124</v>
      </c>
      <c r="B57" s="11" t="s">
        <v>72</v>
      </c>
      <c r="C57" s="19">
        <f>+C56</f>
        <v>-1500</v>
      </c>
      <c r="D57" s="19">
        <f>+C57+D56</f>
        <v>-880</v>
      </c>
      <c r="E57" s="19">
        <f>IF(D57&lt;0,+D57+E56,E56)</f>
        <v>1.7000000000000455</v>
      </c>
      <c r="F57" s="19">
        <f t="shared" ref="F57:H57" si="11">IF(E57&lt;0,+E57+F56,F56)</f>
        <v>1148.5420000000001</v>
      </c>
      <c r="G57" s="19">
        <f t="shared" si="11"/>
        <v>1163.0274200000001</v>
      </c>
      <c r="H57" s="19">
        <f t="shared" si="11"/>
        <v>1177.6576942000006</v>
      </c>
      <c r="I57" s="19">
        <f t="shared" ref="I57" si="12">IF(H57&lt;0,+H57+I56,I56)</f>
        <v>1192.4342711420006</v>
      </c>
      <c r="J57" s="19">
        <f t="shared" ref="J57" si="13">IF(I57&lt;0,+I57+J56,J56)</f>
        <v>1207.358613853421</v>
      </c>
      <c r="K57" s="19">
        <f t="shared" ref="K57" si="14">IF(J57&lt;0,+J57+K56,K56)</f>
        <v>1222.4321999919548</v>
      </c>
      <c r="L57" s="19">
        <f t="shared" ref="L57" si="15">IF(K57&lt;0,+K57+L56,L56)</f>
        <v>1237.6565219918743</v>
      </c>
      <c r="M57" s="22">
        <f t="shared" ref="M57" si="16">IF(L57&lt;0,+L57+M56,M56)</f>
        <v>1253.0330872117938</v>
      </c>
      <c r="N57" s="2"/>
      <c r="O57" s="2"/>
      <c r="P57" s="2"/>
    </row>
    <row r="58" spans="1:16" x14ac:dyDescent="0.35">
      <c r="A58" s="11" t="s">
        <v>125</v>
      </c>
      <c r="B58" s="11" t="s">
        <v>73</v>
      </c>
      <c r="C58" s="19">
        <f>IF(C57&lt;0,0,C57*$C$29)</f>
        <v>0</v>
      </c>
      <c r="D58" s="19">
        <f t="shared" ref="D58:H58" si="17">IF(D57&lt;0,0,D57*$C$29)</f>
        <v>0</v>
      </c>
      <c r="E58" s="19">
        <f t="shared" si="17"/>
        <v>0.4335000000000116</v>
      </c>
      <c r="F58" s="19">
        <f t="shared" si="17"/>
        <v>292.87821000000002</v>
      </c>
      <c r="G58" s="19">
        <f t="shared" si="17"/>
        <v>296.57199210000005</v>
      </c>
      <c r="H58" s="19">
        <f t="shared" si="17"/>
        <v>300.30271202100016</v>
      </c>
      <c r="I58" s="19">
        <f t="shared" ref="I58" si="18">IF(I57&lt;0,0,I57*$C$29)</f>
        <v>304.07073914121014</v>
      </c>
      <c r="J58" s="19">
        <f t="shared" ref="J58" si="19">IF(J57&lt;0,0,J57*$C$29)</f>
        <v>307.87644653262237</v>
      </c>
      <c r="K58" s="19">
        <f t="shared" ref="K58" si="20">IF(K57&lt;0,0,K57*$C$29)</f>
        <v>311.72021099794847</v>
      </c>
      <c r="L58" s="19">
        <f t="shared" ref="L58" si="21">IF(L57&lt;0,0,L57*$C$29)</f>
        <v>315.60241310792799</v>
      </c>
      <c r="M58" s="22">
        <f t="shared" ref="M58" si="22">IF(M57&lt;0,0,M57*$C$29)</f>
        <v>319.52343723900742</v>
      </c>
      <c r="N58" s="2"/>
      <c r="O58" s="2"/>
      <c r="P58" s="2"/>
    </row>
    <row r="59" spans="1:16" x14ac:dyDescent="0.35">
      <c r="A59" s="11" t="s">
        <v>126</v>
      </c>
      <c r="B59" s="11" t="s">
        <v>74</v>
      </c>
      <c r="C59" s="19">
        <f>+C56-C58</f>
        <v>-1500</v>
      </c>
      <c r="D59" s="19">
        <f t="shared" ref="D59:H59" si="23">+D56-D58</f>
        <v>620</v>
      </c>
      <c r="E59" s="19">
        <f t="shared" si="23"/>
        <v>881.26650000000006</v>
      </c>
      <c r="F59" s="19">
        <f t="shared" si="23"/>
        <v>855.66379000000006</v>
      </c>
      <c r="G59" s="19">
        <f t="shared" si="23"/>
        <v>866.45542790000013</v>
      </c>
      <c r="H59" s="19">
        <f t="shared" si="23"/>
        <v>877.35498217900044</v>
      </c>
      <c r="I59" s="19">
        <f t="shared" ref="I59" si="24">+I56-I58</f>
        <v>888.36353200079043</v>
      </c>
      <c r="J59" s="19">
        <f t="shared" ref="J59" si="25">+J56-J58</f>
        <v>899.48216732079868</v>
      </c>
      <c r="K59" s="19">
        <f t="shared" ref="K59" si="26">+K56-K58</f>
        <v>910.71198899400633</v>
      </c>
      <c r="L59" s="19">
        <f t="shared" ref="L59" si="27">+L56-L58</f>
        <v>922.05410888394636</v>
      </c>
      <c r="M59" s="22">
        <f t="shared" ref="M59" si="28">+M56-M58</f>
        <v>933.50964997278641</v>
      </c>
      <c r="N59" s="2"/>
      <c r="O59" s="2"/>
      <c r="P59" s="2"/>
    </row>
    <row r="60" spans="1:16" x14ac:dyDescent="0.35">
      <c r="A60" s="11" t="s">
        <v>127</v>
      </c>
      <c r="B60" s="11" t="s">
        <v>75</v>
      </c>
      <c r="C60" s="19"/>
      <c r="D60" s="19">
        <f>-D55</f>
        <v>300</v>
      </c>
      <c r="E60" s="19">
        <f>-E55</f>
        <v>300</v>
      </c>
      <c r="F60" s="19">
        <f>-F55</f>
        <v>300</v>
      </c>
      <c r="G60" s="19">
        <f>-G55</f>
        <v>300</v>
      </c>
      <c r="H60" s="19">
        <f>-H55</f>
        <v>300</v>
      </c>
      <c r="I60" s="19">
        <f t="shared" ref="I60:M60" si="29">-I55</f>
        <v>300</v>
      </c>
      <c r="J60" s="19">
        <f t="shared" si="29"/>
        <v>300</v>
      </c>
      <c r="K60" s="19">
        <f t="shared" si="29"/>
        <v>300</v>
      </c>
      <c r="L60" s="19">
        <f t="shared" si="29"/>
        <v>300</v>
      </c>
      <c r="M60" s="22">
        <f t="shared" si="29"/>
        <v>300</v>
      </c>
      <c r="N60" s="2"/>
      <c r="O60" s="2"/>
      <c r="P60" s="2"/>
    </row>
    <row r="61" spans="1:16" x14ac:dyDescent="0.35">
      <c r="A61" s="11" t="s">
        <v>128</v>
      </c>
      <c r="B61" s="11" t="s">
        <v>76</v>
      </c>
      <c r="C61" s="19">
        <f t="shared" ref="C61:M61" si="30">-SUM(C3:C5)/1000</f>
        <v>-7500</v>
      </c>
      <c r="D61" s="19">
        <f t="shared" si="30"/>
        <v>0</v>
      </c>
      <c r="E61" s="19">
        <f t="shared" si="30"/>
        <v>0</v>
      </c>
      <c r="F61" s="19">
        <f t="shared" si="30"/>
        <v>0</v>
      </c>
      <c r="G61" s="19">
        <f t="shared" si="30"/>
        <v>0</v>
      </c>
      <c r="H61" s="19">
        <f t="shared" si="30"/>
        <v>0</v>
      </c>
      <c r="I61" s="19">
        <f t="shared" si="30"/>
        <v>0</v>
      </c>
      <c r="J61" s="19">
        <f t="shared" si="30"/>
        <v>0</v>
      </c>
      <c r="K61" s="19">
        <f t="shared" si="30"/>
        <v>0</v>
      </c>
      <c r="L61" s="19">
        <f t="shared" si="30"/>
        <v>0</v>
      </c>
      <c r="M61" s="22">
        <f t="shared" si="30"/>
        <v>0</v>
      </c>
      <c r="N61" s="2"/>
      <c r="O61" s="2"/>
      <c r="P61" s="2"/>
    </row>
    <row r="62" spans="1:16" x14ac:dyDescent="0.35">
      <c r="A62" s="11" t="s">
        <v>129</v>
      </c>
      <c r="B62" s="11" t="s">
        <v>77</v>
      </c>
      <c r="C62" s="19">
        <f>-C36</f>
        <v>-280</v>
      </c>
      <c r="D62" s="19">
        <f t="shared" ref="D62:M62" si="31">+C36-D36</f>
        <v>-140</v>
      </c>
      <c r="E62" s="19">
        <f t="shared" si="31"/>
        <v>-110.25</v>
      </c>
      <c r="F62" s="19">
        <f t="shared" si="31"/>
        <v>-112.41300000000001</v>
      </c>
      <c r="G62" s="19">
        <f t="shared" si="31"/>
        <v>-6.4266300000000456</v>
      </c>
      <c r="H62" s="19">
        <f t="shared" si="31"/>
        <v>-6.4908963000001449</v>
      </c>
      <c r="I62" s="19">
        <f t="shared" si="31"/>
        <v>-6.5558052630000248</v>
      </c>
      <c r="J62" s="19">
        <f t="shared" si="31"/>
        <v>-6.6213633156301057</v>
      </c>
      <c r="K62" s="19">
        <f t="shared" si="31"/>
        <v>-6.6875769487861589</v>
      </c>
      <c r="L62" s="19">
        <f t="shared" si="31"/>
        <v>-6.7544527182741376</v>
      </c>
      <c r="M62" s="22">
        <f t="shared" si="31"/>
        <v>-6.8219972454570552</v>
      </c>
      <c r="N62" s="2"/>
      <c r="O62" s="2"/>
      <c r="P62" s="2"/>
    </row>
    <row r="63" spans="1:16" ht="15" thickBot="1" x14ac:dyDescent="0.4">
      <c r="A63" s="17" t="s">
        <v>130</v>
      </c>
      <c r="B63" s="17" t="s">
        <v>78</v>
      </c>
      <c r="C63" s="36">
        <f>SUM(C59:C62)</f>
        <v>-9280</v>
      </c>
      <c r="D63" s="36">
        <f t="shared" ref="D63:H63" si="32">SUM(D59:D62)</f>
        <v>780</v>
      </c>
      <c r="E63" s="36">
        <f t="shared" si="32"/>
        <v>1071.0165000000002</v>
      </c>
      <c r="F63" s="36">
        <f t="shared" si="32"/>
        <v>1043.2507900000001</v>
      </c>
      <c r="G63" s="36">
        <f t="shared" si="32"/>
        <v>1160.0287979</v>
      </c>
      <c r="H63" s="36">
        <f t="shared" si="32"/>
        <v>1170.8640858790004</v>
      </c>
      <c r="I63" s="36">
        <f t="shared" ref="I63" si="33">SUM(I59:I62)</f>
        <v>1181.8077267377903</v>
      </c>
      <c r="J63" s="36">
        <f t="shared" ref="J63" si="34">SUM(J59:J62)</f>
        <v>1192.8608040051686</v>
      </c>
      <c r="K63" s="36">
        <f t="shared" ref="K63" si="35">SUM(K59:K62)</f>
        <v>1204.0244120452203</v>
      </c>
      <c r="L63" s="36">
        <f t="shared" ref="L63" si="36">SUM(L59:L62)</f>
        <v>1215.2996561656723</v>
      </c>
      <c r="M63" s="43">
        <f t="shared" ref="M63" si="37">SUM(M59:M62)</f>
        <v>1226.6876527273294</v>
      </c>
      <c r="N63" s="2"/>
      <c r="O63" s="2"/>
      <c r="P63" s="2"/>
    </row>
    <row r="64" spans="1:16" ht="15" thickBot="1" x14ac:dyDescent="0.4">
      <c r="A64" s="45" t="s">
        <v>109</v>
      </c>
      <c r="B64" s="45" t="s">
        <v>79</v>
      </c>
      <c r="C64" s="2"/>
      <c r="D64" s="2"/>
      <c r="E64" s="2"/>
      <c r="F64" s="2"/>
      <c r="G64" s="2"/>
      <c r="I64" s="2"/>
      <c r="J64" s="2"/>
      <c r="K64" s="2"/>
      <c r="L64" s="2"/>
      <c r="M64" s="44">
        <f>+M45+M36</f>
        <v>5685.2986662458261</v>
      </c>
      <c r="N64" s="2"/>
      <c r="O64" s="2"/>
      <c r="P64" s="2"/>
    </row>
    <row r="65" spans="1:16" ht="17" thickBot="1" x14ac:dyDescent="0.5">
      <c r="A65" s="45" t="s">
        <v>131</v>
      </c>
      <c r="B65" s="45" t="s">
        <v>80</v>
      </c>
      <c r="C65" s="46">
        <f>C26*(1-C28)+C27*(1-C29)*C28</f>
        <v>6.8410000000000012E-2</v>
      </c>
      <c r="D65" s="2" t="s">
        <v>81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35"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9" thickBot="1" x14ac:dyDescent="0.5">
      <c r="A67" s="7" t="s">
        <v>136</v>
      </c>
      <c r="B67" s="7" t="s">
        <v>85</v>
      </c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35">
      <c r="A68" s="9" t="s">
        <v>132</v>
      </c>
      <c r="B68" s="9" t="s">
        <v>82</v>
      </c>
      <c r="C68" s="27">
        <f>NPV(C65,D63:M63)</f>
        <v>7812.2124224648114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35">
      <c r="A69" s="11" t="s">
        <v>133</v>
      </c>
      <c r="B69" s="11" t="s">
        <v>83</v>
      </c>
      <c r="C69" s="22">
        <f>M64/(1+C65)^M49</f>
        <v>2933.4172538083662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35">
      <c r="A70" s="11" t="s">
        <v>134</v>
      </c>
      <c r="B70" s="11" t="s">
        <v>84</v>
      </c>
      <c r="C70" s="22">
        <f>+C63</f>
        <v>-9280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 thickBot="1" x14ac:dyDescent="0.4">
      <c r="A71" s="78" t="s">
        <v>135</v>
      </c>
      <c r="B71" s="78" t="s">
        <v>85</v>
      </c>
      <c r="C71" s="37">
        <f>SUM(C68:C70)</f>
        <v>1465.6296762731781</v>
      </c>
      <c r="D71" s="2" t="s">
        <v>86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35">
      <c r="A72" s="55"/>
      <c r="B72" s="55"/>
      <c r="C72" s="5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9" thickBot="1" x14ac:dyDescent="0.5">
      <c r="A73" s="7" t="s">
        <v>137</v>
      </c>
      <c r="B73" s="7" t="s">
        <v>87</v>
      </c>
      <c r="C73" s="5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 thickBot="1" x14ac:dyDescent="0.4">
      <c r="A74" s="52" t="s">
        <v>103</v>
      </c>
      <c r="B74" s="52" t="s">
        <v>21</v>
      </c>
      <c r="C74" s="53">
        <v>0</v>
      </c>
      <c r="D74" s="53">
        <v>1</v>
      </c>
      <c r="E74" s="53">
        <v>2</v>
      </c>
      <c r="F74" s="53">
        <v>3</v>
      </c>
      <c r="G74" s="53">
        <v>4</v>
      </c>
      <c r="H74" s="53">
        <v>5</v>
      </c>
      <c r="I74" s="53">
        <v>6</v>
      </c>
      <c r="J74" s="53">
        <v>7</v>
      </c>
      <c r="K74" s="53">
        <v>8</v>
      </c>
      <c r="L74" s="53">
        <v>9</v>
      </c>
      <c r="M74" s="54">
        <v>10</v>
      </c>
      <c r="N74" s="2"/>
      <c r="O74" s="2"/>
      <c r="P74" s="2"/>
    </row>
    <row r="75" spans="1:16" ht="15" thickBot="1" x14ac:dyDescent="0.4">
      <c r="A75" s="45" t="s">
        <v>138</v>
      </c>
      <c r="B75" s="45" t="s">
        <v>88</v>
      </c>
      <c r="C75" s="50">
        <f>+C63</f>
        <v>-9280</v>
      </c>
      <c r="D75" s="50">
        <f>+D63</f>
        <v>780</v>
      </c>
      <c r="E75" s="50">
        <f>+E63</f>
        <v>1071.0165000000002</v>
      </c>
      <c r="F75" s="50">
        <f>+F63</f>
        <v>1043.2507900000001</v>
      </c>
      <c r="G75" s="50">
        <f>+G63</f>
        <v>1160.0287979</v>
      </c>
      <c r="H75" s="50">
        <f t="shared" ref="H75:L75" si="38">+H63</f>
        <v>1170.8640858790004</v>
      </c>
      <c r="I75" s="50">
        <f t="shared" si="38"/>
        <v>1181.8077267377903</v>
      </c>
      <c r="J75" s="50">
        <f t="shared" si="38"/>
        <v>1192.8608040051686</v>
      </c>
      <c r="K75" s="50">
        <f t="shared" si="38"/>
        <v>1204.0244120452203</v>
      </c>
      <c r="L75" s="50">
        <f t="shared" si="38"/>
        <v>1215.2996561656723</v>
      </c>
      <c r="M75" s="51">
        <f>+M63+M64</f>
        <v>6911.986318973155</v>
      </c>
      <c r="N75" s="2"/>
      <c r="O75" s="2"/>
      <c r="P75" s="2"/>
    </row>
    <row r="76" spans="1:16" x14ac:dyDescent="0.35">
      <c r="A76" s="9" t="s">
        <v>139</v>
      </c>
      <c r="B76" s="9" t="s">
        <v>89</v>
      </c>
      <c r="C76" s="47">
        <f>IRR(C75:M75)</f>
        <v>9.3061717115421549E-2</v>
      </c>
      <c r="D76" s="2" t="s">
        <v>90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35">
      <c r="A77" s="11" t="s">
        <v>140</v>
      </c>
      <c r="B77" s="11" t="s">
        <v>91</v>
      </c>
      <c r="C77" s="48">
        <f>+C76/C65</f>
        <v>1.3603525378661239</v>
      </c>
      <c r="D77" s="2" t="s">
        <v>92</v>
      </c>
      <c r="E77" s="2" t="s">
        <v>90</v>
      </c>
      <c r="F77" s="2"/>
      <c r="G77" s="2" t="s">
        <v>93</v>
      </c>
      <c r="H77" s="2"/>
      <c r="I77" s="2"/>
      <c r="J77" s="2"/>
      <c r="K77" s="2"/>
      <c r="L77" s="2"/>
      <c r="M77" s="2"/>
      <c r="N77" s="2"/>
      <c r="O77" s="2"/>
      <c r="P77" s="2"/>
    </row>
    <row r="78" spans="1:16" ht="16.5" x14ac:dyDescent="0.45">
      <c r="A78" s="11" t="s">
        <v>141</v>
      </c>
      <c r="B78" s="11" t="s">
        <v>94</v>
      </c>
      <c r="C78" s="48">
        <f>SUM(C68:C69)/-C70</f>
        <v>1.1579342323570234</v>
      </c>
      <c r="D78" s="2" t="s">
        <v>95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7" thickBot="1" x14ac:dyDescent="0.5">
      <c r="A79" s="15" t="s">
        <v>142</v>
      </c>
      <c r="B79" s="15" t="s">
        <v>96</v>
      </c>
      <c r="C79" s="49">
        <f>1+C71/-C70</f>
        <v>1.1579342323570234</v>
      </c>
      <c r="D79" s="77" t="s">
        <v>97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3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3:16" x14ac:dyDescent="0.3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3:16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3:16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3:16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3:16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3:16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3:16" x14ac:dyDescent="0.3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3:16" x14ac:dyDescent="0.3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3:16" x14ac:dyDescent="0.3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3:16" x14ac:dyDescent="0.3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3:16" x14ac:dyDescent="0.3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3:16" x14ac:dyDescent="0.3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3:16" x14ac:dyDescent="0.3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3:16" x14ac:dyDescent="0.3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3:16" x14ac:dyDescent="0.3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3:16" x14ac:dyDescent="0.3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3:16" x14ac:dyDescent="0.3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3:16" x14ac:dyDescent="0.3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3:16" x14ac:dyDescent="0.3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3:16" x14ac:dyDescent="0.3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3:16" x14ac:dyDescent="0.3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3:16" x14ac:dyDescent="0.3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3:16" x14ac:dyDescent="0.3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3:16" x14ac:dyDescent="0.3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3:16" x14ac:dyDescent="0.3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3:16" x14ac:dyDescent="0.3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3:16" x14ac:dyDescent="0.3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3:16" x14ac:dyDescent="0.3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3:16" x14ac:dyDescent="0.3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3:16" x14ac:dyDescent="0.3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3:16" x14ac:dyDescent="0.3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x14ac:dyDescent="0.3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x14ac:dyDescent="0.3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x14ac:dyDescent="0.3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3:16" x14ac:dyDescent="0.3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3:16" x14ac:dyDescent="0.3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3:16" x14ac:dyDescent="0.3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3:16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3:16" x14ac:dyDescent="0.3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x14ac:dyDescent="0.3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x14ac:dyDescent="0.3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3:16" x14ac:dyDescent="0.3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3:16" x14ac:dyDescent="0.3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3:16" x14ac:dyDescent="0.3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3:16" x14ac:dyDescent="0.3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3:16" x14ac:dyDescent="0.3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3:16" x14ac:dyDescent="0.3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3:16" x14ac:dyDescent="0.3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x14ac:dyDescent="0.3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3:16" x14ac:dyDescent="0.3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3:16" x14ac:dyDescent="0.3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3:16" x14ac:dyDescent="0.3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3:16" x14ac:dyDescent="0.3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3:16" x14ac:dyDescent="0.3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3:16" x14ac:dyDescent="0.3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3:16" x14ac:dyDescent="0.3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3:16" x14ac:dyDescent="0.3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3:16" x14ac:dyDescent="0.3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</sheetData>
  <pageMargins left="0.7" right="0.7" top="0.75" bottom="0.75" header="0.3" footer="0.3"/>
  <pageSetup paperSize="9" scale="9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2D47-6748-438E-BBD1-DE4D969F858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1146-3726-441F-95BF-70D5F3C6B4C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CEE50967BDA45BD9115280A2AEE39" ma:contentTypeVersion="10" ma:contentTypeDescription="Create a new document." ma:contentTypeScope="" ma:versionID="a870198e0bf47334bbc38f37f32e30e3">
  <xsd:schema xmlns:xsd="http://www.w3.org/2001/XMLSchema" xmlns:xs="http://www.w3.org/2001/XMLSchema" xmlns:p="http://schemas.microsoft.com/office/2006/metadata/properties" xmlns:ns3="cc717987-0b32-45f3-8c53-7a73edeea497" targetNamespace="http://schemas.microsoft.com/office/2006/metadata/properties" ma:root="true" ma:fieldsID="c3715dfebd2ca36090439a5f949a6d69" ns3:_="">
    <xsd:import namespace="cc717987-0b32-45f3-8c53-7a73edeea4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17987-0b32-45f3-8c53-7a73edeea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C81F2-A13A-4669-9AC5-C7D8051E98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4947CA-21A1-41A9-84D6-CB0D70EC09C1}">
  <ds:schemaRefs>
    <ds:schemaRef ds:uri="http://schemas.microsoft.com/office/2006/documentManagement/types"/>
    <ds:schemaRef ds:uri="http://purl.org/dc/terms/"/>
    <ds:schemaRef ds:uri="cc717987-0b32-45f3-8c53-7a73edeea497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D3E132-689F-4172-B488-A2A583048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17987-0b32-45f3-8c53-7a73edeea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Printex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dcterms:created xsi:type="dcterms:W3CDTF">2020-11-15T09:31:56Z</dcterms:created>
  <dcterms:modified xsi:type="dcterms:W3CDTF">2020-11-23T16:26:02Z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