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sus\Dropbox\GF Work Group Assignment\WA2\"/>
    </mc:Choice>
  </mc:AlternateContent>
  <xr:revisionPtr revIDLastSave="0" documentId="13_ncr:1_{47C28449-531F-42A8-B8A7-DF44A158B436}" xr6:coauthVersionLast="45" xr6:coauthVersionMax="45" xr10:uidLastSave="{00000000-0000-0000-0000-000000000000}"/>
  <bookViews>
    <workbookView xWindow="-120" yWindow="-120" windowWidth="20730" windowHeight="11160" activeTab="1" xr2:uid="{DD45CF52-CD4E-4DCB-9AB1-23EDA4384408}"/>
  </bookViews>
  <sheets>
    <sheet name="PS2 Guidelines" sheetId="7" r:id="rId1"/>
    <sheet name="Projects" sheetId="6" r:id="rId2"/>
    <sheet name="Sensitivity - Ex4" sheetId="15" r:id="rId3"/>
    <sheet name="Scenarios - Ex5" sheetId="12" r:id="rId4"/>
  </sheets>
  <definedNames>
    <definedName name="g" localSheetId="2">'Sensitivity - Ex4'!$C$43</definedName>
    <definedName name="g">Projects!$C$43</definedName>
    <definedName name="IRRpt" localSheetId="2">'Sensitivity - Ex4'!#REF!</definedName>
    <definedName name="IRRpt">Projects!$C$78</definedName>
    <definedName name="NPVpt" localSheetId="2">'Sensitivity - Ex4'!$C$79</definedName>
    <definedName name="NPVpt">Projects!$C$77</definedName>
    <definedName name="tax" localSheetId="2">'Sensitivity - Ex4'!$C$41</definedName>
    <definedName name="tax">Projects!$C$41</definedName>
    <definedName name="UsagePT" localSheetId="2">'Sensitivity - Ex4'!$K$33</definedName>
    <definedName name="UsagePT">Projects!$K$33</definedName>
    <definedName name="wacc" localSheetId="2">'Sensitivity - Ex4'!$C$42</definedName>
    <definedName name="wacc">Projects!$C$42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5" l="1"/>
  <c r="H51" i="15"/>
  <c r="I51" i="15"/>
  <c r="J51" i="15"/>
  <c r="K51" i="15"/>
  <c r="F51" i="15"/>
  <c r="AA99" i="6" l="1"/>
  <c r="AB72" i="6"/>
  <c r="AA64" i="6"/>
  <c r="K128" i="6" l="1"/>
  <c r="E185" i="15" l="1"/>
  <c r="F185" i="15" s="1"/>
  <c r="G185" i="15" s="1"/>
  <c r="H185" i="15" s="1"/>
  <c r="I185" i="15" s="1"/>
  <c r="J185" i="15" s="1"/>
  <c r="K185" i="15" s="1"/>
  <c r="L185" i="15" s="1"/>
  <c r="C187" i="15"/>
  <c r="C188" i="15" s="1"/>
  <c r="C189" i="15" s="1"/>
  <c r="C190" i="15" s="1"/>
  <c r="C191" i="15" s="1"/>
  <c r="C192" i="15" s="1"/>
  <c r="C193" i="15" s="1"/>
  <c r="C194" i="15" s="1"/>
  <c r="E173" i="15"/>
  <c r="F173" i="15" s="1"/>
  <c r="G173" i="15" s="1"/>
  <c r="H173" i="15" s="1"/>
  <c r="I173" i="15" s="1"/>
  <c r="J173" i="15" s="1"/>
  <c r="K173" i="15" s="1"/>
  <c r="L173" i="15" s="1"/>
  <c r="C176" i="15"/>
  <c r="C177" i="15" s="1"/>
  <c r="C178" i="15" s="1"/>
  <c r="C179" i="15" s="1"/>
  <c r="C180" i="15" s="1"/>
  <c r="C181" i="15" s="1"/>
  <c r="C182" i="15" s="1"/>
  <c r="C175" i="15"/>
  <c r="E50" i="15"/>
  <c r="E52" i="15" s="1"/>
  <c r="E47" i="15"/>
  <c r="E49" i="15" s="1"/>
  <c r="C56" i="15"/>
  <c r="C57" i="15" s="1"/>
  <c r="C60" i="15" s="1"/>
  <c r="C66" i="15" s="1"/>
  <c r="G48" i="15"/>
  <c r="H48" i="15"/>
  <c r="I48" i="15"/>
  <c r="J48" i="15"/>
  <c r="K48" i="15"/>
  <c r="F48" i="15"/>
  <c r="H87" i="15"/>
  <c r="I87" i="15"/>
  <c r="J87" i="15"/>
  <c r="K87" i="15"/>
  <c r="G87" i="15"/>
  <c r="H84" i="15"/>
  <c r="I84" i="15"/>
  <c r="J84" i="15"/>
  <c r="K84" i="15"/>
  <c r="G84" i="15"/>
  <c r="C160" i="15"/>
  <c r="C161" i="15" s="1"/>
  <c r="C162" i="15" s="1"/>
  <c r="C163" i="15" s="1"/>
  <c r="C164" i="15" s="1"/>
  <c r="C165" i="15" s="1"/>
  <c r="C166" i="15" s="1"/>
  <c r="C167" i="15" s="1"/>
  <c r="E158" i="15"/>
  <c r="F158" i="15" s="1"/>
  <c r="G158" i="15" s="1"/>
  <c r="H158" i="15" s="1"/>
  <c r="I158" i="15" s="1"/>
  <c r="J158" i="15" s="1"/>
  <c r="K158" i="15" s="1"/>
  <c r="L158" i="15" s="1"/>
  <c r="C152" i="15"/>
  <c r="C153" i="15" s="1"/>
  <c r="C154" i="15" s="1"/>
  <c r="C155" i="15" s="1"/>
  <c r="C150" i="15"/>
  <c r="C149" i="15" s="1"/>
  <c r="C148" i="15" s="1"/>
  <c r="C147" i="15" s="1"/>
  <c r="I146" i="15"/>
  <c r="J146" i="15" s="1"/>
  <c r="K146" i="15" s="1"/>
  <c r="L146" i="15" s="1"/>
  <c r="G146" i="15"/>
  <c r="F146" i="15" s="1"/>
  <c r="E146" i="15" s="1"/>
  <c r="D146" i="15" s="1"/>
  <c r="E136" i="15"/>
  <c r="F136" i="15" s="1"/>
  <c r="G136" i="15" s="1"/>
  <c r="H136" i="15" s="1"/>
  <c r="I136" i="15" s="1"/>
  <c r="J136" i="15" s="1"/>
  <c r="K136" i="15" s="1"/>
  <c r="L136" i="15" s="1"/>
  <c r="M136" i="15" s="1"/>
  <c r="N136" i="15" s="1"/>
  <c r="O136" i="15" s="1"/>
  <c r="P136" i="15" s="1"/>
  <c r="Q136" i="15" s="1"/>
  <c r="R136" i="15" s="1"/>
  <c r="S136" i="15" s="1"/>
  <c r="E133" i="15"/>
  <c r="F133" i="15" s="1"/>
  <c r="G133" i="15" s="1"/>
  <c r="H133" i="15" s="1"/>
  <c r="I133" i="15" s="1"/>
  <c r="J133" i="15" s="1"/>
  <c r="K133" i="15" s="1"/>
  <c r="L133" i="15" s="1"/>
  <c r="M133" i="15" s="1"/>
  <c r="N133" i="15" s="1"/>
  <c r="O133" i="15" s="1"/>
  <c r="P133" i="15" s="1"/>
  <c r="Q133" i="15" s="1"/>
  <c r="R133" i="15" s="1"/>
  <c r="S133" i="15" s="1"/>
  <c r="E127" i="15"/>
  <c r="F127" i="15" s="1"/>
  <c r="G127" i="15" s="1"/>
  <c r="H127" i="15" s="1"/>
  <c r="I127" i="15" s="1"/>
  <c r="J127" i="15" s="1"/>
  <c r="K127" i="15" s="1"/>
  <c r="L127" i="15" s="1"/>
  <c r="M127" i="15" s="1"/>
  <c r="N127" i="15" s="1"/>
  <c r="O127" i="15" s="1"/>
  <c r="P127" i="15" s="1"/>
  <c r="Q127" i="15" s="1"/>
  <c r="R127" i="15" s="1"/>
  <c r="S127" i="15" s="1"/>
  <c r="T127" i="15" s="1"/>
  <c r="U127" i="15" s="1"/>
  <c r="V127" i="15" s="1"/>
  <c r="W127" i="15" s="1"/>
  <c r="E123" i="15"/>
  <c r="F123" i="15" s="1"/>
  <c r="G123" i="15" s="1"/>
  <c r="H123" i="15" s="1"/>
  <c r="I123" i="15" s="1"/>
  <c r="J123" i="15" s="1"/>
  <c r="K123" i="15" s="1"/>
  <c r="L123" i="15" s="1"/>
  <c r="M123" i="15" s="1"/>
  <c r="N123" i="15" s="1"/>
  <c r="O123" i="15" s="1"/>
  <c r="P123" i="15" s="1"/>
  <c r="Q123" i="15" s="1"/>
  <c r="R123" i="15" s="1"/>
  <c r="S123" i="15" s="1"/>
  <c r="T123" i="15" s="1"/>
  <c r="U123" i="15" s="1"/>
  <c r="V123" i="15" s="1"/>
  <c r="W123" i="15" s="1"/>
  <c r="K105" i="15"/>
  <c r="J105" i="15"/>
  <c r="I105" i="15"/>
  <c r="H105" i="15"/>
  <c r="G105" i="15"/>
  <c r="F105" i="15"/>
  <c r="E105" i="15"/>
  <c r="D105" i="15"/>
  <c r="C105" i="15"/>
  <c r="C103" i="15"/>
  <c r="D100" i="15"/>
  <c r="E100" i="15" s="1"/>
  <c r="F100" i="15" s="1"/>
  <c r="G100" i="15" s="1"/>
  <c r="H100" i="15" s="1"/>
  <c r="I100" i="15" s="1"/>
  <c r="E98" i="15"/>
  <c r="D98" i="15"/>
  <c r="C98" i="15"/>
  <c r="K95" i="15"/>
  <c r="K103" i="15" s="1"/>
  <c r="J95" i="15"/>
  <c r="J103" i="15" s="1"/>
  <c r="I95" i="15"/>
  <c r="I103" i="15" s="1"/>
  <c r="H95" i="15"/>
  <c r="H103" i="15" s="1"/>
  <c r="G95" i="15"/>
  <c r="G103" i="15" s="1"/>
  <c r="F95" i="15"/>
  <c r="F103" i="15" s="1"/>
  <c r="E95" i="15"/>
  <c r="E103" i="15" s="1"/>
  <c r="D95" i="15"/>
  <c r="D103" i="15" s="1"/>
  <c r="K92" i="15"/>
  <c r="J92" i="15"/>
  <c r="I92" i="15"/>
  <c r="H92" i="15"/>
  <c r="G92" i="15"/>
  <c r="F92" i="15"/>
  <c r="E92" i="15"/>
  <c r="E93" i="15" s="1"/>
  <c r="E96" i="15" s="1"/>
  <c r="E102" i="15" s="1"/>
  <c r="D92" i="15"/>
  <c r="D93" i="15" s="1"/>
  <c r="C92" i="15"/>
  <c r="C93" i="15" s="1"/>
  <c r="C96" i="15" s="1"/>
  <c r="C102" i="15" s="1"/>
  <c r="K70" i="15"/>
  <c r="J70" i="15"/>
  <c r="I70" i="15"/>
  <c r="H70" i="15"/>
  <c r="G70" i="15"/>
  <c r="F70" i="15"/>
  <c r="E70" i="15"/>
  <c r="D70" i="15"/>
  <c r="C70" i="15"/>
  <c r="C68" i="15"/>
  <c r="C65" i="15"/>
  <c r="C101" i="15" s="1"/>
  <c r="D64" i="15"/>
  <c r="E64" i="15" s="1"/>
  <c r="F64" i="15" s="1"/>
  <c r="G64" i="15" s="1"/>
  <c r="H64" i="15" s="1"/>
  <c r="D62" i="15"/>
  <c r="C62" i="15"/>
  <c r="K59" i="15"/>
  <c r="K68" i="15" s="1"/>
  <c r="J59" i="15"/>
  <c r="J68" i="15" s="1"/>
  <c r="I59" i="15"/>
  <c r="I68" i="15" s="1"/>
  <c r="H59" i="15"/>
  <c r="H68" i="15" s="1"/>
  <c r="G59" i="15"/>
  <c r="G68" i="15" s="1"/>
  <c r="F59" i="15"/>
  <c r="F68" i="15" s="1"/>
  <c r="E59" i="15"/>
  <c r="E68" i="15" s="1"/>
  <c r="D59" i="15"/>
  <c r="D68" i="15" s="1"/>
  <c r="K56" i="15"/>
  <c r="J56" i="15"/>
  <c r="I56" i="15"/>
  <c r="H56" i="15"/>
  <c r="G56" i="15"/>
  <c r="F56" i="15"/>
  <c r="E56" i="15"/>
  <c r="D56" i="15"/>
  <c r="D57" i="15" s="1"/>
  <c r="D60" i="15" s="1"/>
  <c r="D66" i="15" s="1"/>
  <c r="C46" i="15"/>
  <c r="C82" i="15" s="1"/>
  <c r="D42" i="15"/>
  <c r="K31" i="15"/>
  <c r="J31" i="15"/>
  <c r="I31" i="15"/>
  <c r="H31" i="15"/>
  <c r="G31" i="15"/>
  <c r="F31" i="15"/>
  <c r="E31" i="15"/>
  <c r="K30" i="15"/>
  <c r="J30" i="15"/>
  <c r="I30" i="15"/>
  <c r="H30" i="15"/>
  <c r="G30" i="15"/>
  <c r="F30" i="15"/>
  <c r="E30" i="15"/>
  <c r="K29" i="15"/>
  <c r="J29" i="15"/>
  <c r="I29" i="15"/>
  <c r="H29" i="15"/>
  <c r="G29" i="15"/>
  <c r="F29" i="15"/>
  <c r="E29" i="15"/>
  <c r="K22" i="15"/>
  <c r="J22" i="15"/>
  <c r="I22" i="15"/>
  <c r="H22" i="15"/>
  <c r="G22" i="15"/>
  <c r="F22" i="15"/>
  <c r="K21" i="15"/>
  <c r="J21" i="15"/>
  <c r="I21" i="15"/>
  <c r="H21" i="15"/>
  <c r="G21" i="15"/>
  <c r="F21" i="15"/>
  <c r="K20" i="15"/>
  <c r="J20" i="15"/>
  <c r="I20" i="15"/>
  <c r="H20" i="15"/>
  <c r="G20" i="15"/>
  <c r="F20" i="15"/>
  <c r="K19" i="15"/>
  <c r="J19" i="15"/>
  <c r="I19" i="15"/>
  <c r="H19" i="15"/>
  <c r="G19" i="15"/>
  <c r="F19" i="15"/>
  <c r="D2" i="15"/>
  <c r="D65" i="15" s="1"/>
  <c r="F139" i="6"/>
  <c r="K134" i="6"/>
  <c r="E62" i="15" l="1"/>
  <c r="E69" i="15" s="1"/>
  <c r="I83" i="15"/>
  <c r="I85" i="15" s="1"/>
  <c r="K86" i="15"/>
  <c r="K88" i="15" s="1"/>
  <c r="G86" i="15"/>
  <c r="G88" i="15" s="1"/>
  <c r="F86" i="15"/>
  <c r="F88" i="15" s="1"/>
  <c r="J86" i="15"/>
  <c r="J88" i="15" s="1"/>
  <c r="G50" i="15"/>
  <c r="G52" i="15" s="1"/>
  <c r="K47" i="15"/>
  <c r="K49" i="15" s="1"/>
  <c r="I86" i="15"/>
  <c r="I88" i="15" s="1"/>
  <c r="H83" i="15"/>
  <c r="H85" i="15" s="1"/>
  <c r="H86" i="15"/>
  <c r="H88" i="15" s="1"/>
  <c r="G83" i="15"/>
  <c r="G85" i="15" s="1"/>
  <c r="K83" i="15"/>
  <c r="K85" i="15" s="1"/>
  <c r="J83" i="15"/>
  <c r="J85" i="15" s="1"/>
  <c r="F83" i="15"/>
  <c r="F85" i="15" s="1"/>
  <c r="E53" i="15"/>
  <c r="E57" i="15" s="1"/>
  <c r="E60" i="15" s="1"/>
  <c r="H50" i="15"/>
  <c r="H52" i="15" s="1"/>
  <c r="F50" i="15"/>
  <c r="F52" i="15" s="1"/>
  <c r="J50" i="15"/>
  <c r="J52" i="15" s="1"/>
  <c r="I50" i="15"/>
  <c r="I52" i="15" s="1"/>
  <c r="K50" i="15"/>
  <c r="K52" i="15" s="1"/>
  <c r="F47" i="15"/>
  <c r="F49" i="15" s="1"/>
  <c r="J47" i="15"/>
  <c r="J49" i="15" s="1"/>
  <c r="G47" i="15"/>
  <c r="G49" i="15" s="1"/>
  <c r="I47" i="15"/>
  <c r="I49" i="15" s="1"/>
  <c r="H47" i="15"/>
  <c r="H49" i="15" s="1"/>
  <c r="H62" i="15" s="1"/>
  <c r="C107" i="15"/>
  <c r="C109" i="15" s="1"/>
  <c r="D96" i="15"/>
  <c r="D102" i="15" s="1"/>
  <c r="C72" i="15"/>
  <c r="C76" i="15" s="1"/>
  <c r="C77" i="15" s="1"/>
  <c r="D104" i="15"/>
  <c r="E104" i="15"/>
  <c r="E107" i="15" s="1"/>
  <c r="D101" i="15"/>
  <c r="I64" i="15"/>
  <c r="E2" i="15"/>
  <c r="D46" i="15"/>
  <c r="D82" i="15" s="1"/>
  <c r="D69" i="15"/>
  <c r="D72" i="15" s="1"/>
  <c r="J100" i="15"/>
  <c r="K100" i="15" s="1"/>
  <c r="G22" i="6"/>
  <c r="H22" i="6"/>
  <c r="I22" i="6"/>
  <c r="J22" i="6"/>
  <c r="K22" i="6"/>
  <c r="G21" i="6"/>
  <c r="H21" i="6"/>
  <c r="I21" i="6"/>
  <c r="J21" i="6"/>
  <c r="K21" i="6"/>
  <c r="G20" i="6"/>
  <c r="H20" i="6"/>
  <c r="I20" i="6"/>
  <c r="J20" i="6"/>
  <c r="K20" i="6"/>
  <c r="G19" i="6"/>
  <c r="H19" i="6"/>
  <c r="I19" i="6"/>
  <c r="J19" i="6"/>
  <c r="K19" i="6"/>
  <c r="F22" i="6"/>
  <c r="F21" i="6"/>
  <c r="F20" i="6"/>
  <c r="F19" i="6"/>
  <c r="C111" i="15" l="1"/>
  <c r="C112" i="15" s="1"/>
  <c r="D107" i="15"/>
  <c r="D109" i="15" s="1"/>
  <c r="E109" i="15" s="1"/>
  <c r="F89" i="15"/>
  <c r="C74" i="15"/>
  <c r="D74" i="15" s="1"/>
  <c r="X72" i="15"/>
  <c r="H53" i="15"/>
  <c r="H57" i="15" s="1"/>
  <c r="E111" i="15"/>
  <c r="D76" i="15"/>
  <c r="D77" i="15" s="1"/>
  <c r="K98" i="15"/>
  <c r="K89" i="15"/>
  <c r="G53" i="15"/>
  <c r="G62" i="15"/>
  <c r="H69" i="15" s="1"/>
  <c r="F98" i="15"/>
  <c r="F104" i="15" s="1"/>
  <c r="E54" i="15"/>
  <c r="E65" i="15"/>
  <c r="E46" i="15"/>
  <c r="E82" i="15" s="1"/>
  <c r="F2" i="15"/>
  <c r="L100" i="15"/>
  <c r="M100" i="15" s="1"/>
  <c r="N100" i="15" s="1"/>
  <c r="O100" i="15" s="1"/>
  <c r="P100" i="15" s="1"/>
  <c r="Q100" i="15" s="1"/>
  <c r="R100" i="15" s="1"/>
  <c r="S100" i="15" s="1"/>
  <c r="T100" i="15" s="1"/>
  <c r="U100" i="15" s="1"/>
  <c r="V100" i="15" s="1"/>
  <c r="W100" i="15" s="1"/>
  <c r="X100" i="15" s="1"/>
  <c r="J53" i="15"/>
  <c r="J62" i="15"/>
  <c r="I62" i="15"/>
  <c r="I69" i="15" s="1"/>
  <c r="I53" i="15"/>
  <c r="J64" i="15"/>
  <c r="K64" i="15" s="1"/>
  <c r="X107" i="15"/>
  <c r="G98" i="15"/>
  <c r="G89" i="15"/>
  <c r="J98" i="15"/>
  <c r="J89" i="15"/>
  <c r="I98" i="15"/>
  <c r="I89" i="15"/>
  <c r="F53" i="15"/>
  <c r="F62" i="15"/>
  <c r="F69" i="15" s="1"/>
  <c r="H98" i="15"/>
  <c r="H89" i="15"/>
  <c r="K53" i="15"/>
  <c r="K62" i="15"/>
  <c r="AH88" i="6"/>
  <c r="AG87" i="6"/>
  <c r="AG86" i="6"/>
  <c r="AH86" i="6"/>
  <c r="AI86" i="6"/>
  <c r="AJ86" i="6"/>
  <c r="AK86" i="6"/>
  <c r="AL86" i="6"/>
  <c r="AM86" i="6"/>
  <c r="AN86" i="6"/>
  <c r="AF107" i="6"/>
  <c r="AG85" i="6"/>
  <c r="AH85" i="6" s="1"/>
  <c r="AI85" i="6" s="1"/>
  <c r="AJ85" i="6" s="1"/>
  <c r="D111" i="15" l="1"/>
  <c r="D112" i="15" s="1"/>
  <c r="E112" i="15" s="1"/>
  <c r="H54" i="15"/>
  <c r="J69" i="15"/>
  <c r="G104" i="15"/>
  <c r="I104" i="15"/>
  <c r="K104" i="15"/>
  <c r="I93" i="15"/>
  <c r="I90" i="15"/>
  <c r="K93" i="15"/>
  <c r="K90" i="15"/>
  <c r="I57" i="15"/>
  <c r="I54" i="15"/>
  <c r="J57" i="15"/>
  <c r="J54" i="15"/>
  <c r="E101" i="15"/>
  <c r="K57" i="15"/>
  <c r="K54" i="15"/>
  <c r="H93" i="15"/>
  <c r="H90" i="15"/>
  <c r="J93" i="15"/>
  <c r="J90" i="15"/>
  <c r="X111" i="15"/>
  <c r="G69" i="15"/>
  <c r="G93" i="15"/>
  <c r="G90" i="15"/>
  <c r="F93" i="15"/>
  <c r="F90" i="15"/>
  <c r="K69" i="15"/>
  <c r="H104" i="15"/>
  <c r="F57" i="15"/>
  <c r="F54" i="15"/>
  <c r="J104" i="15"/>
  <c r="L64" i="15"/>
  <c r="M64" i="15" s="1"/>
  <c r="N64" i="15" s="1"/>
  <c r="O64" i="15" s="1"/>
  <c r="P64" i="15" s="1"/>
  <c r="Q64" i="15" s="1"/>
  <c r="R64" i="15" s="1"/>
  <c r="S64" i="15" s="1"/>
  <c r="T64" i="15" s="1"/>
  <c r="U64" i="15" s="1"/>
  <c r="V64" i="15" s="1"/>
  <c r="W64" i="15" s="1"/>
  <c r="X64" i="15" s="1"/>
  <c r="X76" i="15" s="1"/>
  <c r="F46" i="15"/>
  <c r="F82" i="15" s="1"/>
  <c r="G2" i="15"/>
  <c r="F65" i="15"/>
  <c r="E58" i="15"/>
  <c r="E66" i="15"/>
  <c r="E72" i="15" s="1"/>
  <c r="G57" i="15"/>
  <c r="G54" i="15"/>
  <c r="H58" i="15"/>
  <c r="H60" i="15"/>
  <c r="H66" i="15" s="1"/>
  <c r="H72" i="15" s="1"/>
  <c r="AK85" i="6"/>
  <c r="AL85" i="6" s="1"/>
  <c r="AM85" i="6" s="1"/>
  <c r="AN85" i="6" s="1"/>
  <c r="AO85" i="6" s="1"/>
  <c r="AP85" i="6" s="1"/>
  <c r="AQ85" i="6" s="1"/>
  <c r="AR85" i="6" s="1"/>
  <c r="AS85" i="6" s="1"/>
  <c r="AT85" i="6" s="1"/>
  <c r="AU85" i="6" s="1"/>
  <c r="AV85" i="6" s="1"/>
  <c r="AW85" i="6" s="1"/>
  <c r="AX85" i="6" s="1"/>
  <c r="AY85" i="6" s="1"/>
  <c r="AZ85" i="6" s="1"/>
  <c r="AZ106" i="6"/>
  <c r="BA106" i="6" s="1"/>
  <c r="AZ105" i="6"/>
  <c r="AY105" i="6"/>
  <c r="AZ104" i="6"/>
  <c r="AY104" i="6"/>
  <c r="AX104" i="6"/>
  <c r="AZ103" i="6"/>
  <c r="AY103" i="6"/>
  <c r="AX103" i="6"/>
  <c r="AW103" i="6"/>
  <c r="AZ102" i="6"/>
  <c r="AY102" i="6"/>
  <c r="AX102" i="6"/>
  <c r="AW102" i="6"/>
  <c r="AV102" i="6"/>
  <c r="AZ101" i="6"/>
  <c r="AY101" i="6"/>
  <c r="AX101" i="6"/>
  <c r="AW101" i="6"/>
  <c r="AV101" i="6"/>
  <c r="AU101" i="6"/>
  <c r="AZ100" i="6"/>
  <c r="AY100" i="6"/>
  <c r="AX100" i="6"/>
  <c r="AW100" i="6"/>
  <c r="AV100" i="6"/>
  <c r="AU100" i="6"/>
  <c r="AT100" i="6"/>
  <c r="AZ99" i="6"/>
  <c r="AY99" i="6"/>
  <c r="AX99" i="6"/>
  <c r="AW99" i="6"/>
  <c r="AV99" i="6"/>
  <c r="AU99" i="6"/>
  <c r="AT99" i="6"/>
  <c r="AS99" i="6"/>
  <c r="AZ98" i="6"/>
  <c r="AY98" i="6"/>
  <c r="AX98" i="6"/>
  <c r="AW98" i="6"/>
  <c r="AV98" i="6"/>
  <c r="AU98" i="6"/>
  <c r="AT98" i="6"/>
  <c r="AS98" i="6"/>
  <c r="AR98" i="6"/>
  <c r="AZ97" i="6"/>
  <c r="AY97" i="6"/>
  <c r="AX97" i="6"/>
  <c r="AW97" i="6"/>
  <c r="AV97" i="6"/>
  <c r="AU97" i="6"/>
  <c r="AT97" i="6"/>
  <c r="AS97" i="6"/>
  <c r="AR97" i="6"/>
  <c r="AQ97" i="6"/>
  <c r="AZ96" i="6"/>
  <c r="AY96" i="6"/>
  <c r="AX96" i="6"/>
  <c r="AW96" i="6"/>
  <c r="AV96" i="6"/>
  <c r="AU96" i="6"/>
  <c r="AT96" i="6"/>
  <c r="AS96" i="6"/>
  <c r="AR96" i="6"/>
  <c r="AQ96" i="6"/>
  <c r="AP96" i="6"/>
  <c r="AZ95" i="6"/>
  <c r="AY95" i="6"/>
  <c r="AX95" i="6"/>
  <c r="AW95" i="6"/>
  <c r="AV95" i="6"/>
  <c r="AU95" i="6"/>
  <c r="AT95" i="6"/>
  <c r="AS95" i="6"/>
  <c r="AR95" i="6"/>
  <c r="AQ95" i="6"/>
  <c r="AP95" i="6"/>
  <c r="AO95" i="6"/>
  <c r="AZ94" i="6"/>
  <c r="AY94" i="6"/>
  <c r="AX94" i="6"/>
  <c r="AW94" i="6"/>
  <c r="AV94" i="6"/>
  <c r="AU94" i="6"/>
  <c r="AT94" i="6"/>
  <c r="AS94" i="6"/>
  <c r="AR94" i="6"/>
  <c r="AQ94" i="6"/>
  <c r="AP94" i="6"/>
  <c r="AO94" i="6"/>
  <c r="AN94" i="6"/>
  <c r="AZ93" i="6"/>
  <c r="AY93" i="6"/>
  <c r="AX93" i="6"/>
  <c r="AW93" i="6"/>
  <c r="AV93" i="6"/>
  <c r="AU93" i="6"/>
  <c r="AT93" i="6"/>
  <c r="AS93" i="6"/>
  <c r="AR93" i="6"/>
  <c r="AQ93" i="6"/>
  <c r="AP93" i="6"/>
  <c r="AO93" i="6"/>
  <c r="AN93" i="6"/>
  <c r="AM93" i="6"/>
  <c r="AZ92" i="6"/>
  <c r="AY92" i="6"/>
  <c r="AX92" i="6"/>
  <c r="AW92" i="6"/>
  <c r="AV92" i="6"/>
  <c r="AU92" i="6"/>
  <c r="AT92" i="6"/>
  <c r="AS92" i="6"/>
  <c r="AR92" i="6"/>
  <c r="AQ92" i="6"/>
  <c r="AP92" i="6"/>
  <c r="AO92" i="6"/>
  <c r="AN92" i="6"/>
  <c r="AM92" i="6"/>
  <c r="AL92" i="6"/>
  <c r="AZ91" i="6"/>
  <c r="AY91" i="6"/>
  <c r="AX91" i="6"/>
  <c r="AW91" i="6"/>
  <c r="AV91" i="6"/>
  <c r="AU91" i="6"/>
  <c r="AT91" i="6"/>
  <c r="AS91" i="6"/>
  <c r="AR91" i="6"/>
  <c r="AQ91" i="6"/>
  <c r="AP91" i="6"/>
  <c r="AO91" i="6"/>
  <c r="AN91" i="6"/>
  <c r="AM91" i="6"/>
  <c r="AL91" i="6"/>
  <c r="AK91" i="6"/>
  <c r="AZ90" i="6"/>
  <c r="AY90" i="6"/>
  <c r="AX90" i="6"/>
  <c r="AW90" i="6"/>
  <c r="AV90" i="6"/>
  <c r="AU90" i="6"/>
  <c r="AT90" i="6"/>
  <c r="AS90" i="6"/>
  <c r="AR90" i="6"/>
  <c r="AQ90" i="6"/>
  <c r="AP90" i="6"/>
  <c r="AO90" i="6"/>
  <c r="AN90" i="6"/>
  <c r="AM90" i="6"/>
  <c r="AL90" i="6"/>
  <c r="AK90" i="6"/>
  <c r="AJ90" i="6"/>
  <c r="AZ89" i="6"/>
  <c r="AY89" i="6"/>
  <c r="AX89" i="6"/>
  <c r="AW89" i="6"/>
  <c r="AV89" i="6"/>
  <c r="AU89" i="6"/>
  <c r="AT89" i="6"/>
  <c r="AS89" i="6"/>
  <c r="AR89" i="6"/>
  <c r="AQ89" i="6"/>
  <c r="AP89" i="6"/>
  <c r="AO89" i="6"/>
  <c r="AN89" i="6"/>
  <c r="AM89" i="6"/>
  <c r="AL89" i="6"/>
  <c r="AK89" i="6"/>
  <c r="AJ89" i="6"/>
  <c r="AI89" i="6"/>
  <c r="AZ88" i="6"/>
  <c r="AY88" i="6"/>
  <c r="AX88" i="6"/>
  <c r="AW88" i="6"/>
  <c r="AV88" i="6"/>
  <c r="AU88" i="6"/>
  <c r="AT88" i="6"/>
  <c r="AS88" i="6"/>
  <c r="AR88" i="6"/>
  <c r="AQ88" i="6"/>
  <c r="AP88" i="6"/>
  <c r="AO88" i="6"/>
  <c r="AN88" i="6"/>
  <c r="AM88" i="6"/>
  <c r="AL88" i="6"/>
  <c r="AK88" i="6"/>
  <c r="AJ88" i="6"/>
  <c r="AI88" i="6"/>
  <c r="AZ87" i="6"/>
  <c r="AY87" i="6"/>
  <c r="AX87" i="6"/>
  <c r="AW87" i="6"/>
  <c r="AV87" i="6"/>
  <c r="AU87" i="6"/>
  <c r="AT87" i="6"/>
  <c r="AS87" i="6"/>
  <c r="AR87" i="6"/>
  <c r="AQ87" i="6"/>
  <c r="AP87" i="6"/>
  <c r="AO87" i="6"/>
  <c r="AN87" i="6"/>
  <c r="AM87" i="6"/>
  <c r="AL87" i="6"/>
  <c r="AK87" i="6"/>
  <c r="AJ87" i="6"/>
  <c r="AI87" i="6"/>
  <c r="AH87" i="6"/>
  <c r="AZ86" i="6"/>
  <c r="AY86" i="6"/>
  <c r="AX86" i="6"/>
  <c r="AW86" i="6"/>
  <c r="AV86" i="6"/>
  <c r="AU86" i="6"/>
  <c r="AT86" i="6"/>
  <c r="AS86" i="6"/>
  <c r="AR86" i="6"/>
  <c r="AQ86" i="6"/>
  <c r="AP86" i="6"/>
  <c r="AO86" i="6"/>
  <c r="AG107" i="6"/>
  <c r="E93" i="6"/>
  <c r="BA88" i="6" l="1"/>
  <c r="BA87" i="6"/>
  <c r="E74" i="15"/>
  <c r="E76" i="15"/>
  <c r="E77" i="15" s="1"/>
  <c r="F101" i="15"/>
  <c r="H76" i="15"/>
  <c r="F60" i="15"/>
  <c r="F66" i="15" s="1"/>
  <c r="F72" i="15" s="1"/>
  <c r="F58" i="15"/>
  <c r="F94" i="15"/>
  <c r="F96" i="15"/>
  <c r="F102" i="15" s="1"/>
  <c r="F107" i="15" s="1"/>
  <c r="J94" i="15"/>
  <c r="J96" i="15"/>
  <c r="J102" i="15" s="1"/>
  <c r="J107" i="15" s="1"/>
  <c r="K60" i="15"/>
  <c r="K66" i="15" s="1"/>
  <c r="K72" i="15" s="1"/>
  <c r="K58" i="15"/>
  <c r="J60" i="15"/>
  <c r="J66" i="15" s="1"/>
  <c r="J72" i="15" s="1"/>
  <c r="J58" i="15"/>
  <c r="K96" i="15"/>
  <c r="K102" i="15" s="1"/>
  <c r="K107" i="15" s="1"/>
  <c r="K94" i="15"/>
  <c r="G60" i="15"/>
  <c r="G66" i="15" s="1"/>
  <c r="G72" i="15" s="1"/>
  <c r="G58" i="15"/>
  <c r="G65" i="15"/>
  <c r="G46" i="15"/>
  <c r="G82" i="15" s="1"/>
  <c r="H2" i="15"/>
  <c r="G96" i="15"/>
  <c r="G102" i="15" s="1"/>
  <c r="G107" i="15" s="1"/>
  <c r="G94" i="15"/>
  <c r="H96" i="15"/>
  <c r="H102" i="15" s="1"/>
  <c r="H107" i="15" s="1"/>
  <c r="H94" i="15"/>
  <c r="I58" i="15"/>
  <c r="I60" i="15"/>
  <c r="I66" i="15" s="1"/>
  <c r="I72" i="15" s="1"/>
  <c r="I94" i="15"/>
  <c r="I96" i="15"/>
  <c r="I102" i="15" s="1"/>
  <c r="I107" i="15" s="1"/>
  <c r="AK107" i="6"/>
  <c r="AL107" i="6"/>
  <c r="BA94" i="6"/>
  <c r="BA102" i="6"/>
  <c r="BA103" i="6"/>
  <c r="BA104" i="6"/>
  <c r="AO107" i="6"/>
  <c r="AI107" i="6"/>
  <c r="BA101" i="6"/>
  <c r="AJ107" i="6"/>
  <c r="AN107" i="6"/>
  <c r="AM107" i="6"/>
  <c r="BA98" i="6"/>
  <c r="BA99" i="6"/>
  <c r="BA100" i="6"/>
  <c r="BA97" i="6"/>
  <c r="AS107" i="6"/>
  <c r="AW107" i="6"/>
  <c r="BA96" i="6"/>
  <c r="BA105" i="6"/>
  <c r="BA95" i="6"/>
  <c r="AH107" i="6"/>
  <c r="AP107" i="6"/>
  <c r="AT107" i="6"/>
  <c r="AX107" i="6"/>
  <c r="AQ107" i="6"/>
  <c r="AU107" i="6"/>
  <c r="AY107" i="6"/>
  <c r="BA90" i="6"/>
  <c r="BA91" i="6"/>
  <c r="BA92" i="6"/>
  <c r="AR107" i="6"/>
  <c r="AV107" i="6"/>
  <c r="AZ107" i="6"/>
  <c r="BA89" i="6"/>
  <c r="BA93" i="6"/>
  <c r="BA86" i="6"/>
  <c r="H111" i="15" l="1"/>
  <c r="L107" i="15"/>
  <c r="K111" i="15"/>
  <c r="K76" i="15"/>
  <c r="L72" i="15"/>
  <c r="H65" i="15"/>
  <c r="I2" i="15"/>
  <c r="H46" i="15"/>
  <c r="H82" i="15" s="1"/>
  <c r="I76" i="15"/>
  <c r="G101" i="15"/>
  <c r="G111" i="15"/>
  <c r="J111" i="15"/>
  <c r="G76" i="15"/>
  <c r="J76" i="15"/>
  <c r="F76" i="15"/>
  <c r="F77" i="15" s="1"/>
  <c r="F74" i="15"/>
  <c r="G74" i="15" s="1"/>
  <c r="H74" i="15" s="1"/>
  <c r="I111" i="15"/>
  <c r="F111" i="15"/>
  <c r="F112" i="15" s="1"/>
  <c r="F109" i="15"/>
  <c r="G109" i="15" s="1"/>
  <c r="H109" i="15" s="1"/>
  <c r="I109" i="15" s="1"/>
  <c r="BA107" i="6"/>
  <c r="BA109" i="6" s="1"/>
  <c r="X101" i="6" s="1"/>
  <c r="X103" i="6" s="1"/>
  <c r="AF64" i="6"/>
  <c r="AG44" i="6"/>
  <c r="AH45" i="6"/>
  <c r="AI46" i="6"/>
  <c r="AJ47" i="6"/>
  <c r="AK48" i="6"/>
  <c r="AL49" i="6"/>
  <c r="AM50" i="6"/>
  <c r="AN51" i="6"/>
  <c r="AO52" i="6"/>
  <c r="AP53" i="6"/>
  <c r="AQ54" i="6"/>
  <c r="AR55" i="6"/>
  <c r="AS56" i="6"/>
  <c r="AT57" i="6"/>
  <c r="AU58" i="6"/>
  <c r="AV59" i="6"/>
  <c r="AW60" i="6"/>
  <c r="AX61" i="6"/>
  <c r="AY62" i="6"/>
  <c r="AZ63" i="6"/>
  <c r="AH44" i="6"/>
  <c r="AI44" i="6"/>
  <c r="AJ44" i="6"/>
  <c r="AK44" i="6"/>
  <c r="AL44" i="6"/>
  <c r="AM44" i="6"/>
  <c r="AN44" i="6"/>
  <c r="AO44" i="6"/>
  <c r="AP44" i="6"/>
  <c r="AQ44" i="6"/>
  <c r="AR44" i="6"/>
  <c r="AS44" i="6"/>
  <c r="AT44" i="6"/>
  <c r="AU44" i="6"/>
  <c r="AV44" i="6"/>
  <c r="AW44" i="6"/>
  <c r="AX44" i="6"/>
  <c r="AY44" i="6"/>
  <c r="AZ44" i="6"/>
  <c r="AI45" i="6"/>
  <c r="AJ45" i="6"/>
  <c r="AK45" i="6"/>
  <c r="AL45" i="6"/>
  <c r="AM45" i="6"/>
  <c r="AN45" i="6"/>
  <c r="AO45" i="6"/>
  <c r="AP45" i="6"/>
  <c r="AQ45" i="6"/>
  <c r="AR45" i="6"/>
  <c r="AS45" i="6"/>
  <c r="AT45" i="6"/>
  <c r="AU45" i="6"/>
  <c r="AV45" i="6"/>
  <c r="AW45" i="6"/>
  <c r="AX45" i="6"/>
  <c r="AY45" i="6"/>
  <c r="AZ45" i="6"/>
  <c r="AJ46" i="6"/>
  <c r="AK46" i="6"/>
  <c r="AL46" i="6"/>
  <c r="AM46" i="6"/>
  <c r="AN46" i="6"/>
  <c r="AO46" i="6"/>
  <c r="AP46" i="6"/>
  <c r="AQ46" i="6"/>
  <c r="AR46" i="6"/>
  <c r="AS46" i="6"/>
  <c r="AT46" i="6"/>
  <c r="AU46" i="6"/>
  <c r="AV46" i="6"/>
  <c r="AW46" i="6"/>
  <c r="AX46" i="6"/>
  <c r="AY46" i="6"/>
  <c r="AZ46" i="6"/>
  <c r="AK47" i="6"/>
  <c r="AL47" i="6"/>
  <c r="AM47" i="6"/>
  <c r="AN47" i="6"/>
  <c r="AO47" i="6"/>
  <c r="AP47" i="6"/>
  <c r="AQ47" i="6"/>
  <c r="AR47" i="6"/>
  <c r="AS47" i="6"/>
  <c r="AT47" i="6"/>
  <c r="AU47" i="6"/>
  <c r="AV47" i="6"/>
  <c r="AW47" i="6"/>
  <c r="AX47" i="6"/>
  <c r="AY47" i="6"/>
  <c r="AZ47" i="6"/>
  <c r="AL48" i="6"/>
  <c r="AM48" i="6"/>
  <c r="AN48" i="6"/>
  <c r="AO48" i="6"/>
  <c r="AP48" i="6"/>
  <c r="AQ48" i="6"/>
  <c r="AR48" i="6"/>
  <c r="AS48" i="6"/>
  <c r="AT48" i="6"/>
  <c r="AU48" i="6"/>
  <c r="AV48" i="6"/>
  <c r="AW48" i="6"/>
  <c r="AX48" i="6"/>
  <c r="AY48" i="6"/>
  <c r="AZ48" i="6"/>
  <c r="AM49" i="6"/>
  <c r="AN49" i="6"/>
  <c r="AO49" i="6"/>
  <c r="AP49" i="6"/>
  <c r="AQ49" i="6"/>
  <c r="AR49" i="6"/>
  <c r="AS49" i="6"/>
  <c r="AT49" i="6"/>
  <c r="AU49" i="6"/>
  <c r="AV49" i="6"/>
  <c r="AW49" i="6"/>
  <c r="AX49" i="6"/>
  <c r="AY49" i="6"/>
  <c r="AZ49" i="6"/>
  <c r="AN50" i="6"/>
  <c r="AO50" i="6"/>
  <c r="AP50" i="6"/>
  <c r="AQ50" i="6"/>
  <c r="AR50" i="6"/>
  <c r="AS50" i="6"/>
  <c r="AT50" i="6"/>
  <c r="AU50" i="6"/>
  <c r="AV50" i="6"/>
  <c r="AW50" i="6"/>
  <c r="AX50" i="6"/>
  <c r="AY50" i="6"/>
  <c r="AZ50" i="6"/>
  <c r="AO51" i="6"/>
  <c r="AP51" i="6"/>
  <c r="AQ51" i="6"/>
  <c r="AR51" i="6"/>
  <c r="AS51" i="6"/>
  <c r="AT51" i="6"/>
  <c r="AU51" i="6"/>
  <c r="AV51" i="6"/>
  <c r="AW51" i="6"/>
  <c r="AX51" i="6"/>
  <c r="AY51" i="6"/>
  <c r="AZ51" i="6"/>
  <c r="AP52" i="6"/>
  <c r="AQ52" i="6"/>
  <c r="AR52" i="6"/>
  <c r="AS52" i="6"/>
  <c r="AT52" i="6"/>
  <c r="AU52" i="6"/>
  <c r="AV52" i="6"/>
  <c r="AW52" i="6"/>
  <c r="AX52" i="6"/>
  <c r="AY52" i="6"/>
  <c r="AZ52" i="6"/>
  <c r="AQ53" i="6"/>
  <c r="AR53" i="6"/>
  <c r="AS53" i="6"/>
  <c r="AT53" i="6"/>
  <c r="AU53" i="6"/>
  <c r="AV53" i="6"/>
  <c r="AW53" i="6"/>
  <c r="AX53" i="6"/>
  <c r="AY53" i="6"/>
  <c r="AZ53" i="6"/>
  <c r="AR54" i="6"/>
  <c r="AS54" i="6"/>
  <c r="AT54" i="6"/>
  <c r="AU54" i="6"/>
  <c r="AV54" i="6"/>
  <c r="AW54" i="6"/>
  <c r="AX54" i="6"/>
  <c r="AY54" i="6"/>
  <c r="AZ54" i="6"/>
  <c r="AS55" i="6"/>
  <c r="AT55" i="6"/>
  <c r="AU55" i="6"/>
  <c r="AV55" i="6"/>
  <c r="AW55" i="6"/>
  <c r="AX55" i="6"/>
  <c r="AY55" i="6"/>
  <c r="AZ55" i="6"/>
  <c r="AT56" i="6"/>
  <c r="AU56" i="6"/>
  <c r="AV56" i="6"/>
  <c r="AW56" i="6"/>
  <c r="AX56" i="6"/>
  <c r="AY56" i="6"/>
  <c r="AZ56" i="6"/>
  <c r="AU57" i="6"/>
  <c r="AV57" i="6"/>
  <c r="AW57" i="6"/>
  <c r="AX57" i="6"/>
  <c r="AY57" i="6"/>
  <c r="AZ57" i="6"/>
  <c r="AV58" i="6"/>
  <c r="AW58" i="6"/>
  <c r="AX58" i="6"/>
  <c r="AY58" i="6"/>
  <c r="AZ58" i="6"/>
  <c r="AW59" i="6"/>
  <c r="AX59" i="6"/>
  <c r="AY59" i="6"/>
  <c r="AZ59" i="6"/>
  <c r="AX60" i="6"/>
  <c r="AY60" i="6"/>
  <c r="AZ60" i="6"/>
  <c r="AY61" i="6"/>
  <c r="AZ61" i="6"/>
  <c r="AZ62" i="6"/>
  <c r="AH43" i="6"/>
  <c r="AI43" i="6"/>
  <c r="AJ43" i="6"/>
  <c r="AK43" i="6"/>
  <c r="AL43" i="6"/>
  <c r="AM43" i="6"/>
  <c r="AN43" i="6"/>
  <c r="AO43" i="6"/>
  <c r="AP43" i="6"/>
  <c r="AQ43" i="6"/>
  <c r="AR43" i="6"/>
  <c r="AS43" i="6"/>
  <c r="AT43" i="6"/>
  <c r="AU43" i="6"/>
  <c r="AV43" i="6"/>
  <c r="AW43" i="6"/>
  <c r="AX43" i="6"/>
  <c r="AY43" i="6"/>
  <c r="AZ43" i="6"/>
  <c r="AG43" i="6"/>
  <c r="AH64" i="6" l="1"/>
  <c r="AL64" i="6"/>
  <c r="J109" i="15"/>
  <c r="K109" i="15" s="1"/>
  <c r="L109" i="15" s="1"/>
  <c r="I74" i="15"/>
  <c r="M72" i="15"/>
  <c r="L76" i="15"/>
  <c r="M107" i="15"/>
  <c r="L111" i="15"/>
  <c r="G77" i="15"/>
  <c r="H77" i="15" s="1"/>
  <c r="I77" i="15" s="1"/>
  <c r="J77" i="15" s="1"/>
  <c r="K77" i="15" s="1"/>
  <c r="I65" i="15"/>
  <c r="I46" i="15"/>
  <c r="I82" i="15" s="1"/>
  <c r="J2" i="15"/>
  <c r="H101" i="15"/>
  <c r="G112" i="15"/>
  <c r="H112" i="15" s="1"/>
  <c r="I112" i="15" s="1"/>
  <c r="J112" i="15" s="1"/>
  <c r="K112" i="15" s="1"/>
  <c r="AN64" i="6"/>
  <c r="AJ64" i="6"/>
  <c r="AM64" i="6"/>
  <c r="AI64" i="6"/>
  <c r="AP64" i="6"/>
  <c r="AG64" i="6"/>
  <c r="AK64" i="6"/>
  <c r="AO64" i="6"/>
  <c r="AQ64" i="6"/>
  <c r="AW64" i="6"/>
  <c r="AS64" i="6"/>
  <c r="AX64" i="6"/>
  <c r="AT64" i="6"/>
  <c r="AV64" i="6"/>
  <c r="AR64" i="6"/>
  <c r="AY64" i="6"/>
  <c r="AU64" i="6"/>
  <c r="BA62" i="6"/>
  <c r="AZ64" i="6"/>
  <c r="BA63" i="6"/>
  <c r="BA56" i="6"/>
  <c r="BA52" i="6"/>
  <c r="BA45" i="6"/>
  <c r="BA61" i="6"/>
  <c r="BA60" i="6"/>
  <c r="BA44" i="6"/>
  <c r="BA58" i="6"/>
  <c r="BA53" i="6"/>
  <c r="BA51" i="6"/>
  <c r="BA55" i="6"/>
  <c r="BA54" i="6"/>
  <c r="BA43" i="6"/>
  <c r="BA50" i="6"/>
  <c r="BA48" i="6"/>
  <c r="BA47" i="6"/>
  <c r="BA59" i="6"/>
  <c r="BA57" i="6"/>
  <c r="BA49" i="6"/>
  <c r="BA46" i="6"/>
  <c r="L112" i="15" l="1"/>
  <c r="M111" i="15"/>
  <c r="M109" i="15"/>
  <c r="N107" i="15"/>
  <c r="N72" i="15"/>
  <c r="M76" i="15"/>
  <c r="J74" i="15"/>
  <c r="K74" i="15" s="1"/>
  <c r="L74" i="15" s="1"/>
  <c r="M74" i="15" s="1"/>
  <c r="J46" i="15"/>
  <c r="J82" i="15" s="1"/>
  <c r="K2" i="15"/>
  <c r="J65" i="15"/>
  <c r="I101" i="15"/>
  <c r="L77" i="15"/>
  <c r="BA64" i="6"/>
  <c r="BA66" i="6" s="1"/>
  <c r="X66" i="6" s="1"/>
  <c r="X68" i="6" s="1"/>
  <c r="X115" i="6" s="1"/>
  <c r="M77" i="15" l="1"/>
  <c r="M112" i="15"/>
  <c r="N111" i="15"/>
  <c r="N109" i="15"/>
  <c r="O107" i="15"/>
  <c r="K65" i="15"/>
  <c r="K46" i="15"/>
  <c r="K82" i="15" s="1"/>
  <c r="J101" i="15"/>
  <c r="N76" i="15"/>
  <c r="N74" i="15"/>
  <c r="O72" i="15"/>
  <c r="N77" i="15" l="1"/>
  <c r="N112" i="15"/>
  <c r="K101" i="15"/>
  <c r="L65" i="15"/>
  <c r="O109" i="15"/>
  <c r="P107" i="15"/>
  <c r="O111" i="15"/>
  <c r="O76" i="15"/>
  <c r="O74" i="15"/>
  <c r="P72" i="15"/>
  <c r="O77" i="15" l="1"/>
  <c r="O112" i="15"/>
  <c r="L101" i="15"/>
  <c r="M65" i="15"/>
  <c r="P111" i="15"/>
  <c r="P109" i="15"/>
  <c r="Q107" i="15"/>
  <c r="P74" i="15"/>
  <c r="Q72" i="15"/>
  <c r="P76" i="15"/>
  <c r="P77" i="15" l="1"/>
  <c r="P112" i="15"/>
  <c r="Q111" i="15"/>
  <c r="Q109" i="15"/>
  <c r="R107" i="15"/>
  <c r="M101" i="15"/>
  <c r="N65" i="15"/>
  <c r="Q74" i="15"/>
  <c r="R72" i="15"/>
  <c r="Q76" i="15"/>
  <c r="Q77" i="15" l="1"/>
  <c r="Q112" i="15"/>
  <c r="R111" i="15"/>
  <c r="R109" i="15"/>
  <c r="S107" i="15"/>
  <c r="N101" i="15"/>
  <c r="O65" i="15"/>
  <c r="R76" i="15"/>
  <c r="R74" i="15"/>
  <c r="S72" i="15"/>
  <c r="R77" i="15" l="1"/>
  <c r="R112" i="15"/>
  <c r="S109" i="15"/>
  <c r="T107" i="15"/>
  <c r="S111" i="15"/>
  <c r="S76" i="15"/>
  <c r="S74" i="15"/>
  <c r="T72" i="15"/>
  <c r="O101" i="15"/>
  <c r="P65" i="15"/>
  <c r="S77" i="15" l="1"/>
  <c r="S112" i="15"/>
  <c r="T74" i="15"/>
  <c r="U72" i="15"/>
  <c r="T76" i="15"/>
  <c r="T109" i="15"/>
  <c r="U107" i="15"/>
  <c r="T111" i="15"/>
  <c r="P101" i="15"/>
  <c r="Q65" i="15"/>
  <c r="T77" i="15" l="1"/>
  <c r="T112" i="15"/>
  <c r="U74" i="15"/>
  <c r="V72" i="15"/>
  <c r="U76" i="15"/>
  <c r="U111" i="15"/>
  <c r="U109" i="15"/>
  <c r="V107" i="15"/>
  <c r="Q101" i="15"/>
  <c r="R65" i="15"/>
  <c r="U112" i="15" l="1"/>
  <c r="U77" i="15"/>
  <c r="V111" i="15"/>
  <c r="V109" i="15"/>
  <c r="W107" i="15"/>
  <c r="R101" i="15"/>
  <c r="S65" i="15"/>
  <c r="W72" i="15"/>
  <c r="V76" i="15"/>
  <c r="V74" i="15"/>
  <c r="V112" i="15" l="1"/>
  <c r="V77" i="15"/>
  <c r="W109" i="15"/>
  <c r="X109" i="15" s="1"/>
  <c r="W111" i="15"/>
  <c r="C114" i="15"/>
  <c r="C185" i="15" s="1"/>
  <c r="W76" i="15"/>
  <c r="W74" i="15"/>
  <c r="X74" i="15" s="1"/>
  <c r="C79" i="15"/>
  <c r="C173" i="15" s="1"/>
  <c r="S101" i="15"/>
  <c r="T65" i="15"/>
  <c r="W112" i="15" l="1"/>
  <c r="X112" i="15" s="1"/>
  <c r="W77" i="15"/>
  <c r="X77" i="15" s="1"/>
  <c r="C158" i="15"/>
  <c r="C137" i="15"/>
  <c r="C128" i="15"/>
  <c r="T101" i="15"/>
  <c r="U65" i="15"/>
  <c r="C146" i="15"/>
  <c r="C134" i="15"/>
  <c r="C124" i="15"/>
  <c r="U101" i="15" l="1"/>
  <c r="V65" i="15"/>
  <c r="V101" i="15" l="1"/>
  <c r="W65" i="15"/>
  <c r="E55" i="6"/>
  <c r="D55" i="6"/>
  <c r="W101" i="15" l="1"/>
  <c r="X65" i="15"/>
  <c r="X101" i="15" s="1"/>
  <c r="E48" i="6"/>
  <c r="E47" i="6"/>
  <c r="K82" i="6" l="1"/>
  <c r="E143" i="6" l="1"/>
  <c r="I143" i="6" l="1"/>
  <c r="H143" i="6"/>
  <c r="F143" i="6"/>
  <c r="C101" i="6" l="1"/>
  <c r="E90" i="6"/>
  <c r="E99" i="6" s="1"/>
  <c r="F90" i="6"/>
  <c r="F99" i="6" s="1"/>
  <c r="G90" i="6"/>
  <c r="G99" i="6" s="1"/>
  <c r="H90" i="6"/>
  <c r="H99" i="6" s="1"/>
  <c r="I90" i="6"/>
  <c r="I99" i="6" s="1"/>
  <c r="J90" i="6"/>
  <c r="J99" i="6" s="1"/>
  <c r="K90" i="6"/>
  <c r="K99" i="6" s="1"/>
  <c r="D90" i="6"/>
  <c r="D99" i="6" s="1"/>
  <c r="C99" i="6"/>
  <c r="C87" i="6"/>
  <c r="C88" i="6" s="1"/>
  <c r="C91" i="6" s="1"/>
  <c r="C97" i="6" s="1"/>
  <c r="F82" i="6"/>
  <c r="F93" i="6" s="1"/>
  <c r="G47" i="6"/>
  <c r="G82" i="6"/>
  <c r="H82" i="6"/>
  <c r="I82" i="6"/>
  <c r="J82" i="6"/>
  <c r="N99" i="6" l="1"/>
  <c r="R99" i="6"/>
  <c r="V99" i="6"/>
  <c r="U99" i="6"/>
  <c r="O99" i="6"/>
  <c r="S99" i="6"/>
  <c r="W99" i="6"/>
  <c r="Q99" i="6"/>
  <c r="P99" i="6"/>
  <c r="T99" i="6"/>
  <c r="L99" i="6"/>
  <c r="M99" i="6"/>
  <c r="C103" i="6"/>
  <c r="C131" i="6" s="1"/>
  <c r="C66" i="6"/>
  <c r="E66" i="6"/>
  <c r="D42" i="6"/>
  <c r="G58" i="6"/>
  <c r="C64" i="6"/>
  <c r="AA100" i="6" l="1"/>
  <c r="AA101" i="6" s="1"/>
  <c r="K55" i="6"/>
  <c r="K64" i="6" s="1"/>
  <c r="G55" i="6"/>
  <c r="H55" i="6"/>
  <c r="I55" i="6"/>
  <c r="J55" i="6"/>
  <c r="F55" i="6"/>
  <c r="C61" i="6"/>
  <c r="C96" i="6" s="1"/>
  <c r="F47" i="6"/>
  <c r="F58" i="6" s="1"/>
  <c r="C46" i="6"/>
  <c r="C81" i="6" s="1"/>
  <c r="P64" i="6" l="1"/>
  <c r="T64" i="6"/>
  <c r="L64" i="6"/>
  <c r="W64" i="6"/>
  <c r="M64" i="6"/>
  <c r="Q64" i="6"/>
  <c r="U64" i="6"/>
  <c r="S64" i="6"/>
  <c r="N64" i="6"/>
  <c r="R64" i="6"/>
  <c r="V64" i="6"/>
  <c r="O64" i="6"/>
  <c r="E49" i="6"/>
  <c r="E58" i="6"/>
  <c r="F65" i="6" s="1"/>
  <c r="G65" i="6"/>
  <c r="E87" i="6"/>
  <c r="H47" i="6"/>
  <c r="I47" i="6"/>
  <c r="J47" i="6"/>
  <c r="K47" i="6"/>
  <c r="F48" i="6"/>
  <c r="G48" i="6"/>
  <c r="G49" i="6" s="1"/>
  <c r="H48" i="6"/>
  <c r="I48" i="6"/>
  <c r="J48" i="6"/>
  <c r="K48" i="6"/>
  <c r="K31" i="6"/>
  <c r="J31" i="6"/>
  <c r="I31" i="6"/>
  <c r="H31" i="6"/>
  <c r="G31" i="6"/>
  <c r="F31" i="6"/>
  <c r="K30" i="6"/>
  <c r="J30" i="6"/>
  <c r="I30" i="6"/>
  <c r="H30" i="6"/>
  <c r="G30" i="6"/>
  <c r="F30" i="6"/>
  <c r="K29" i="6"/>
  <c r="J29" i="6"/>
  <c r="I29" i="6"/>
  <c r="H29" i="6"/>
  <c r="G29" i="6"/>
  <c r="F29" i="6"/>
  <c r="E30" i="6"/>
  <c r="E29" i="6"/>
  <c r="E31" i="6"/>
  <c r="D2" i="6"/>
  <c r="F83" i="6" l="1"/>
  <c r="F84" i="6" s="1"/>
  <c r="G83" i="6"/>
  <c r="G84" i="6" s="1"/>
  <c r="H49" i="6"/>
  <c r="H83" i="6"/>
  <c r="H84" i="6" s="1"/>
  <c r="I83" i="6"/>
  <c r="I84" i="6" s="1"/>
  <c r="J83" i="6"/>
  <c r="J84" i="6" s="1"/>
  <c r="I49" i="6"/>
  <c r="K83" i="6"/>
  <c r="K84" i="6" s="1"/>
  <c r="H87" i="6"/>
  <c r="E2" i="6"/>
  <c r="D46" i="6"/>
  <c r="D81" i="6" s="1"/>
  <c r="D61" i="6"/>
  <c r="J49" i="6"/>
  <c r="K49" i="6"/>
  <c r="E50" i="6"/>
  <c r="F49" i="6"/>
  <c r="D96" i="6" l="1"/>
  <c r="AG42" i="6"/>
  <c r="F2" i="6"/>
  <c r="E61" i="6"/>
  <c r="E46" i="6"/>
  <c r="E81" i="6" s="1"/>
  <c r="K52" i="6"/>
  <c r="K87" i="6"/>
  <c r="C52" i="6"/>
  <c r="D52" i="6"/>
  <c r="D53" i="6" s="1"/>
  <c r="D56" i="6" s="1"/>
  <c r="D62" i="6" s="1"/>
  <c r="D64" i="6"/>
  <c r="C58" i="6"/>
  <c r="D58" i="6"/>
  <c r="D87" i="6"/>
  <c r="D88" i="6" s="1"/>
  <c r="D91" i="6" s="1"/>
  <c r="E88" i="6"/>
  <c r="E91" i="6" s="1"/>
  <c r="C93" i="6"/>
  <c r="D93" i="6"/>
  <c r="F100" i="6"/>
  <c r="D95" i="6"/>
  <c r="E95" i="6" s="1"/>
  <c r="F95" i="6" s="1"/>
  <c r="G95" i="6" s="1"/>
  <c r="H95" i="6" s="1"/>
  <c r="D60" i="6"/>
  <c r="H85" i="6"/>
  <c r="K101" i="6"/>
  <c r="J101" i="6"/>
  <c r="I101" i="6"/>
  <c r="H101" i="6"/>
  <c r="G101" i="6"/>
  <c r="F101" i="6"/>
  <c r="E101" i="6"/>
  <c r="D101" i="6"/>
  <c r="J87" i="6"/>
  <c r="I87" i="6"/>
  <c r="G87" i="6"/>
  <c r="F87" i="6"/>
  <c r="F88" i="6" s="1"/>
  <c r="F91" i="6" s="1"/>
  <c r="D66" i="6"/>
  <c r="F66" i="6"/>
  <c r="G66" i="6"/>
  <c r="H66" i="6"/>
  <c r="I66" i="6"/>
  <c r="J66" i="6"/>
  <c r="K66" i="6"/>
  <c r="E64" i="6"/>
  <c r="G64" i="6"/>
  <c r="H64" i="6"/>
  <c r="I64" i="6"/>
  <c r="J64" i="6"/>
  <c r="F64" i="6"/>
  <c r="F52" i="6"/>
  <c r="G52" i="6"/>
  <c r="H52" i="6"/>
  <c r="I52" i="6"/>
  <c r="J52" i="6"/>
  <c r="E52" i="6"/>
  <c r="E53" i="6" s="1"/>
  <c r="I58" i="6"/>
  <c r="K58" i="6"/>
  <c r="AA65" i="6" l="1"/>
  <c r="AA66" i="6" s="1"/>
  <c r="I95" i="6"/>
  <c r="E96" i="6"/>
  <c r="AH42" i="6"/>
  <c r="E56" i="6"/>
  <c r="E54" i="6"/>
  <c r="D65" i="6"/>
  <c r="E65" i="6"/>
  <c r="G2" i="6"/>
  <c r="F46" i="6"/>
  <c r="F81" i="6" s="1"/>
  <c r="F61" i="6"/>
  <c r="E60" i="6"/>
  <c r="E100" i="6"/>
  <c r="D100" i="6"/>
  <c r="C53" i="6"/>
  <c r="D97" i="6"/>
  <c r="E97" i="6"/>
  <c r="J58" i="6"/>
  <c r="J65" i="6" s="1"/>
  <c r="F85" i="6"/>
  <c r="H58" i="6"/>
  <c r="H65" i="6" s="1"/>
  <c r="K85" i="6"/>
  <c r="J85" i="6"/>
  <c r="J93" i="6"/>
  <c r="I85" i="6"/>
  <c r="I93" i="6"/>
  <c r="G93" i="6"/>
  <c r="G100" i="6" s="1"/>
  <c r="H93" i="6"/>
  <c r="H88" i="6"/>
  <c r="K93" i="6"/>
  <c r="J95" i="6" l="1"/>
  <c r="D103" i="6"/>
  <c r="D131" i="6" s="1"/>
  <c r="E103" i="6"/>
  <c r="E131" i="6" s="1"/>
  <c r="H100" i="6"/>
  <c r="C56" i="6"/>
  <c r="C62" i="6" s="1"/>
  <c r="C68" i="6" s="1"/>
  <c r="F96" i="6"/>
  <c r="AI42" i="6"/>
  <c r="K100" i="6"/>
  <c r="I100" i="6"/>
  <c r="H91" i="6"/>
  <c r="H97" i="6" s="1"/>
  <c r="H2" i="6"/>
  <c r="G46" i="6"/>
  <c r="G81" i="6" s="1"/>
  <c r="G61" i="6"/>
  <c r="I65" i="6"/>
  <c r="J100" i="6"/>
  <c r="K65" i="6"/>
  <c r="F60" i="6"/>
  <c r="G60" i="6" s="1"/>
  <c r="H60" i="6" s="1"/>
  <c r="I60" i="6" s="1"/>
  <c r="J60" i="6" s="1"/>
  <c r="K60" i="6" s="1"/>
  <c r="L60" i="6" s="1"/>
  <c r="M60" i="6" s="1"/>
  <c r="N60" i="6" s="1"/>
  <c r="O60" i="6" s="1"/>
  <c r="P60" i="6" s="1"/>
  <c r="Q60" i="6" s="1"/>
  <c r="R60" i="6" s="1"/>
  <c r="S60" i="6" s="1"/>
  <c r="T60" i="6" s="1"/>
  <c r="U60" i="6" s="1"/>
  <c r="V60" i="6" s="1"/>
  <c r="W60" i="6" s="1"/>
  <c r="X60" i="6" s="1"/>
  <c r="X72" i="6" s="1"/>
  <c r="D107" i="6"/>
  <c r="H89" i="6"/>
  <c r="D68" i="6"/>
  <c r="K88" i="6"/>
  <c r="I88" i="6"/>
  <c r="G50" i="6"/>
  <c r="G53" i="6"/>
  <c r="G56" i="6" s="1"/>
  <c r="H50" i="6"/>
  <c r="H53" i="6"/>
  <c r="H56" i="6" s="1"/>
  <c r="K50" i="6"/>
  <c r="K53" i="6"/>
  <c r="K56" i="6" s="1"/>
  <c r="J50" i="6"/>
  <c r="J53" i="6"/>
  <c r="J56" i="6" s="1"/>
  <c r="F50" i="6"/>
  <c r="F53" i="6"/>
  <c r="F56" i="6" s="1"/>
  <c r="J88" i="6"/>
  <c r="I50" i="6"/>
  <c r="I53" i="6"/>
  <c r="I56" i="6" s="1"/>
  <c r="G85" i="6"/>
  <c r="G88" i="6"/>
  <c r="G91" i="6" s="1"/>
  <c r="K95" i="6" l="1"/>
  <c r="E107" i="6"/>
  <c r="H103" i="6"/>
  <c r="H131" i="6" s="1"/>
  <c r="C115" i="6"/>
  <c r="C125" i="6"/>
  <c r="C72" i="6"/>
  <c r="G96" i="6"/>
  <c r="AJ42" i="6"/>
  <c r="D115" i="6"/>
  <c r="D125" i="6"/>
  <c r="J89" i="6"/>
  <c r="J91" i="6"/>
  <c r="K89" i="6"/>
  <c r="K91" i="6"/>
  <c r="I2" i="6"/>
  <c r="H46" i="6"/>
  <c r="H81" i="6" s="1"/>
  <c r="H61" i="6"/>
  <c r="I89" i="6"/>
  <c r="I91" i="6"/>
  <c r="D72" i="6"/>
  <c r="C70" i="6"/>
  <c r="D70" i="6" s="1"/>
  <c r="F89" i="6"/>
  <c r="I54" i="6"/>
  <c r="I62" i="6"/>
  <c r="F54" i="6"/>
  <c r="F62" i="6"/>
  <c r="E62" i="6"/>
  <c r="E68" i="6" s="1"/>
  <c r="K54" i="6"/>
  <c r="K62" i="6"/>
  <c r="K68" i="6" s="1"/>
  <c r="G54" i="6"/>
  <c r="G62" i="6"/>
  <c r="J54" i="6"/>
  <c r="J62" i="6"/>
  <c r="H54" i="6"/>
  <c r="H62" i="6"/>
  <c r="G89" i="6"/>
  <c r="C73" i="6" l="1"/>
  <c r="L95" i="6"/>
  <c r="M95" i="6" s="1"/>
  <c r="N95" i="6" s="1"/>
  <c r="O95" i="6" s="1"/>
  <c r="P95" i="6" s="1"/>
  <c r="Q95" i="6" s="1"/>
  <c r="R95" i="6" s="1"/>
  <c r="S95" i="6" s="1"/>
  <c r="T95" i="6" s="1"/>
  <c r="U95" i="6" s="1"/>
  <c r="V95" i="6" s="1"/>
  <c r="W95" i="6" s="1"/>
  <c r="X95" i="6" s="1"/>
  <c r="X107" i="6" s="1"/>
  <c r="H107" i="6"/>
  <c r="H96" i="6"/>
  <c r="AK42" i="6"/>
  <c r="E72" i="6"/>
  <c r="E125" i="6"/>
  <c r="L68" i="6"/>
  <c r="J2" i="6"/>
  <c r="I61" i="6"/>
  <c r="I46" i="6"/>
  <c r="I81" i="6" s="1"/>
  <c r="C107" i="6"/>
  <c r="C105" i="6"/>
  <c r="D105" i="6" s="1"/>
  <c r="E105" i="6" s="1"/>
  <c r="K97" i="6"/>
  <c r="K103" i="6" s="1"/>
  <c r="K131" i="6" s="1"/>
  <c r="J97" i="6"/>
  <c r="I97" i="6"/>
  <c r="G97" i="6"/>
  <c r="F97" i="6"/>
  <c r="F103" i="6" s="1"/>
  <c r="F131" i="6" s="1"/>
  <c r="D73" i="6"/>
  <c r="H68" i="6"/>
  <c r="J68" i="6"/>
  <c r="J125" i="6" s="1"/>
  <c r="F68" i="6"/>
  <c r="G68" i="6"/>
  <c r="G125" i="6" s="1"/>
  <c r="I68" i="6"/>
  <c r="K72" i="6"/>
  <c r="C108" i="6" l="1"/>
  <c r="D108" i="6" s="1"/>
  <c r="E108" i="6" s="1"/>
  <c r="I96" i="6"/>
  <c r="AL42" i="6"/>
  <c r="I72" i="6"/>
  <c r="I125" i="6"/>
  <c r="F72" i="6"/>
  <c r="F125" i="6"/>
  <c r="H72" i="6"/>
  <c r="H125" i="6"/>
  <c r="M68" i="6"/>
  <c r="N68" i="6" s="1"/>
  <c r="L72" i="6"/>
  <c r="L103" i="6"/>
  <c r="K2" i="6"/>
  <c r="J46" i="6"/>
  <c r="J81" i="6" s="1"/>
  <c r="J61" i="6"/>
  <c r="G103" i="6"/>
  <c r="G115" i="6" s="1"/>
  <c r="I103" i="6"/>
  <c r="I115" i="6" s="1"/>
  <c r="J103" i="6"/>
  <c r="K115" i="6"/>
  <c r="K107" i="6"/>
  <c r="F105" i="6"/>
  <c r="F107" i="6"/>
  <c r="F108" i="6" s="1"/>
  <c r="E115" i="6"/>
  <c r="E70" i="6"/>
  <c r="F70" i="6" s="1"/>
  <c r="G70" i="6" s="1"/>
  <c r="H70" i="6" s="1"/>
  <c r="D75" i="6" s="1"/>
  <c r="H115" i="6"/>
  <c r="F115" i="6"/>
  <c r="G72" i="6"/>
  <c r="J72" i="6"/>
  <c r="J96" i="6" l="1"/>
  <c r="AM42" i="6"/>
  <c r="L115" i="6"/>
  <c r="I70" i="6"/>
  <c r="G107" i="6"/>
  <c r="G108" i="6" s="1"/>
  <c r="H108" i="6" s="1"/>
  <c r="G131" i="6"/>
  <c r="O68" i="6"/>
  <c r="J107" i="6"/>
  <c r="J131" i="6"/>
  <c r="I107" i="6"/>
  <c r="I131" i="6"/>
  <c r="M103" i="6"/>
  <c r="N103" i="6" s="1"/>
  <c r="G105" i="6"/>
  <c r="H105" i="6" s="1"/>
  <c r="D110" i="6" s="1"/>
  <c r="K46" i="6"/>
  <c r="K81" i="6" s="1"/>
  <c r="K61" i="6"/>
  <c r="AN42" i="6" s="1"/>
  <c r="J115" i="6"/>
  <c r="L107" i="6"/>
  <c r="E73" i="6"/>
  <c r="M72" i="6"/>
  <c r="I105" i="6" l="1"/>
  <c r="C110" i="6" s="1"/>
  <c r="E110" i="6" s="1"/>
  <c r="J70" i="6"/>
  <c r="K70" i="6" s="1"/>
  <c r="L70" i="6" s="1"/>
  <c r="C75" i="6"/>
  <c r="E75" i="6" s="1"/>
  <c r="D133" i="6"/>
  <c r="D134" i="6"/>
  <c r="P68" i="6"/>
  <c r="I108" i="6"/>
  <c r="J108" i="6" s="1"/>
  <c r="D111" i="6" s="1"/>
  <c r="O103" i="6"/>
  <c r="P103" i="6" s="1"/>
  <c r="N115" i="6"/>
  <c r="K96" i="6"/>
  <c r="L61" i="6"/>
  <c r="AO42" i="6" s="1"/>
  <c r="M115" i="6"/>
  <c r="M107" i="6"/>
  <c r="F73" i="6"/>
  <c r="M70" i="6"/>
  <c r="N70" i="6" s="1"/>
  <c r="N107" i="6"/>
  <c r="N72" i="6"/>
  <c r="J105" i="6" l="1"/>
  <c r="K105" i="6" s="1"/>
  <c r="L105" i="6" s="1"/>
  <c r="M105" i="6" s="1"/>
  <c r="N105" i="6" s="1"/>
  <c r="O105" i="6" s="1"/>
  <c r="P105" i="6" s="1"/>
  <c r="K108" i="6"/>
  <c r="C111" i="6" s="1"/>
  <c r="E111" i="6" s="1"/>
  <c r="Q68" i="6"/>
  <c r="R68" i="6" s="1"/>
  <c r="P72" i="6"/>
  <c r="Q103" i="6"/>
  <c r="P107" i="6"/>
  <c r="L96" i="6"/>
  <c r="M61" i="6"/>
  <c r="AP42" i="6" s="1"/>
  <c r="G73" i="6"/>
  <c r="O115" i="6"/>
  <c r="O107" i="6"/>
  <c r="O72" i="6"/>
  <c r="O70" i="6"/>
  <c r="P70" i="6" s="1"/>
  <c r="L108" i="6" l="1"/>
  <c r="M108" i="6" s="1"/>
  <c r="N108" i="6" s="1"/>
  <c r="O108" i="6" s="1"/>
  <c r="P108" i="6" s="1"/>
  <c r="Q72" i="6"/>
  <c r="Q70" i="6"/>
  <c r="R70" i="6" s="1"/>
  <c r="R72" i="6"/>
  <c r="S68" i="6"/>
  <c r="S72" i="6" s="1"/>
  <c r="Q105" i="6"/>
  <c r="R103" i="6"/>
  <c r="Q107" i="6"/>
  <c r="Q115" i="6"/>
  <c r="M96" i="6"/>
  <c r="N61" i="6"/>
  <c r="AQ42" i="6" s="1"/>
  <c r="H73" i="6"/>
  <c r="I73" i="6" s="1"/>
  <c r="J73" i="6" s="1"/>
  <c r="D76" i="6" s="1"/>
  <c r="P115" i="6"/>
  <c r="K73" i="6" l="1"/>
  <c r="C76" i="6" s="1"/>
  <c r="E76" i="6" s="1"/>
  <c r="T68" i="6"/>
  <c r="U68" i="6" s="1"/>
  <c r="V68" i="6" s="1"/>
  <c r="S70" i="6"/>
  <c r="S103" i="6"/>
  <c r="R115" i="6"/>
  <c r="R107" i="6"/>
  <c r="R105" i="6"/>
  <c r="Q108" i="6"/>
  <c r="O61" i="6"/>
  <c r="AR42" i="6" s="1"/>
  <c r="N96" i="6"/>
  <c r="L73" i="6" l="1"/>
  <c r="M73" i="6" s="1"/>
  <c r="N73" i="6" s="1"/>
  <c r="O73" i="6" s="1"/>
  <c r="P73" i="6" s="1"/>
  <c r="Q73" i="6" s="1"/>
  <c r="R73" i="6" s="1"/>
  <c r="S73" i="6" s="1"/>
  <c r="U72" i="6"/>
  <c r="T70" i="6"/>
  <c r="U70" i="6" s="1"/>
  <c r="V70" i="6" s="1"/>
  <c r="T72" i="6"/>
  <c r="S105" i="6"/>
  <c r="R108" i="6"/>
  <c r="T103" i="6"/>
  <c r="S115" i="6"/>
  <c r="S107" i="6"/>
  <c r="P61" i="6"/>
  <c r="AS42" i="6" s="1"/>
  <c r="O96" i="6"/>
  <c r="W68" i="6"/>
  <c r="V72" i="6"/>
  <c r="T73" i="6" l="1"/>
  <c r="U73" i="6" s="1"/>
  <c r="V73" i="6" s="1"/>
  <c r="C77" i="6"/>
  <c r="C78" i="6"/>
  <c r="S108" i="6"/>
  <c r="U103" i="6"/>
  <c r="T107" i="6"/>
  <c r="T115" i="6"/>
  <c r="T105" i="6"/>
  <c r="Q61" i="6"/>
  <c r="AT42" i="6" s="1"/>
  <c r="P96" i="6"/>
  <c r="W72" i="6"/>
  <c r="D77" i="6" s="1"/>
  <c r="W70" i="6"/>
  <c r="X70" i="6" l="1"/>
  <c r="AB70" i="6"/>
  <c r="T108" i="6"/>
  <c r="V103" i="6"/>
  <c r="U105" i="6"/>
  <c r="U115" i="6"/>
  <c r="U107" i="6"/>
  <c r="R61" i="6"/>
  <c r="AU42" i="6" s="1"/>
  <c r="Q96" i="6"/>
  <c r="W73" i="6"/>
  <c r="AB73" i="6" s="1"/>
  <c r="X73" i="6" l="1"/>
  <c r="E77" i="6" s="1"/>
  <c r="U108" i="6"/>
  <c r="W103" i="6"/>
  <c r="V115" i="6"/>
  <c r="V105" i="6"/>
  <c r="V107" i="6"/>
  <c r="S61" i="6"/>
  <c r="AV42" i="6" s="1"/>
  <c r="R96" i="6"/>
  <c r="C113" i="6" l="1"/>
  <c r="C112" i="6"/>
  <c r="V108" i="6"/>
  <c r="W115" i="6"/>
  <c r="C116" i="6" s="1"/>
  <c r="W105" i="6"/>
  <c r="W107" i="6"/>
  <c r="D112" i="6" s="1"/>
  <c r="T61" i="6"/>
  <c r="AW42" i="6" s="1"/>
  <c r="S96" i="6"/>
  <c r="X105" i="6" l="1"/>
  <c r="AB105" i="6"/>
  <c r="W108" i="6"/>
  <c r="X108" i="6" s="1"/>
  <c r="E112" i="6" s="1"/>
  <c r="T96" i="6"/>
  <c r="U61" i="6"/>
  <c r="AX42" i="6" s="1"/>
  <c r="V61" i="6" l="1"/>
  <c r="AY42" i="6" s="1"/>
  <c r="U96" i="6"/>
  <c r="W61" i="6" l="1"/>
  <c r="X61" i="6" s="1"/>
  <c r="X96" i="6" s="1"/>
  <c r="V96" i="6"/>
  <c r="K125" i="6"/>
  <c r="D127" i="6" l="1"/>
  <c r="D128" i="6"/>
  <c r="W96" i="6"/>
  <c r="AZ42" i="6"/>
</calcChain>
</file>

<file path=xl/sharedStrings.xml><?xml version="1.0" encoding="utf-8"?>
<sst xmlns="http://schemas.openxmlformats.org/spreadsheetml/2006/main" count="372" uniqueCount="162">
  <si>
    <t>Gross Margin</t>
  </si>
  <si>
    <t>EBITDA</t>
  </si>
  <si>
    <t>EBIT</t>
  </si>
  <si>
    <t>3 points</t>
  </si>
  <si>
    <t>1)</t>
  </si>
  <si>
    <t>2)</t>
  </si>
  <si>
    <t>3)</t>
  </si>
  <si>
    <t>4)</t>
  </si>
  <si>
    <t>1.0 point</t>
  </si>
  <si>
    <t>2.0 points</t>
  </si>
  <si>
    <t>OPEX</t>
  </si>
  <si>
    <t>Sales</t>
  </si>
  <si>
    <t>COGS</t>
  </si>
  <si>
    <t>D&amp;A</t>
  </si>
  <si>
    <t>-</t>
  </si>
  <si>
    <t>WACC</t>
  </si>
  <si>
    <t>EBIT (1 - T)</t>
  </si>
  <si>
    <t>NWC</t>
  </si>
  <si>
    <t>NWC (% sales)</t>
  </si>
  <si>
    <r>
      <rPr>
        <sz val="11"/>
        <color theme="1"/>
        <rFont val="Symbol"/>
        <family val="1"/>
        <charset val="2"/>
      </rPr>
      <t>D</t>
    </r>
    <r>
      <rPr>
        <sz val="11"/>
        <color theme="1"/>
        <rFont val="Calibri"/>
        <family val="2"/>
      </rPr>
      <t>NWC</t>
    </r>
  </si>
  <si>
    <t>CAPEX</t>
  </si>
  <si>
    <t>FCFF</t>
  </si>
  <si>
    <t>NPV</t>
  </si>
  <si>
    <t>Payback</t>
  </si>
  <si>
    <t>Discounted Payback</t>
  </si>
  <si>
    <t>Discounted FCFF</t>
  </si>
  <si>
    <t>Accumulated FCFF</t>
  </si>
  <si>
    <t>Accumulated Discounted FCFF</t>
  </si>
  <si>
    <t>Blue Sky Scenario</t>
  </si>
  <si>
    <t>WACC (all period)</t>
  </si>
  <si>
    <t>Grey Sky Scenario</t>
  </si>
  <si>
    <t>COGS (% Sales)</t>
  </si>
  <si>
    <t>Indiference Point</t>
  </si>
  <si>
    <t>2 points</t>
  </si>
  <si>
    <t>2.0 point</t>
  </si>
  <si>
    <t>0.5 points</t>
  </si>
  <si>
    <t>5)</t>
  </si>
  <si>
    <t>2.5 points</t>
  </si>
  <si>
    <t>1. e.</t>
  </si>
  <si>
    <t>1. a.</t>
  </si>
  <si>
    <t>1. b.</t>
  </si>
  <si>
    <t>1. c.</t>
  </si>
  <si>
    <t>1. d.</t>
  </si>
  <si>
    <t>0)</t>
  </si>
  <si>
    <t>Presentation quality (e.g., organization of the excel file and report)</t>
  </si>
  <si>
    <t>Computing FCFF</t>
  </si>
  <si>
    <r>
      <t xml:space="preserve">Question </t>
    </r>
    <r>
      <rPr>
        <u/>
        <sz val="11"/>
        <color rgb="FFC00000"/>
        <rFont val="Calibri"/>
        <family val="2"/>
        <scheme val="minor"/>
      </rPr>
      <t>e.</t>
    </r>
    <r>
      <rPr>
        <sz val="11"/>
        <color rgb="FFC00000"/>
        <rFont val="Calibri"/>
        <family val="2"/>
        <scheme val="minor"/>
      </rPr>
      <t xml:space="preserve"> is somehow to differentiate the best students (e.g., Indiference Point; Profitability Index; or other)</t>
    </r>
  </si>
  <si>
    <t>Portugal</t>
  </si>
  <si>
    <t>Greece</t>
  </si>
  <si>
    <t>Model S</t>
  </si>
  <si>
    <t>Model 3</t>
  </si>
  <si>
    <t>Model X</t>
  </si>
  <si>
    <t>Prices - EUR</t>
  </si>
  <si>
    <t>Roadster</t>
  </si>
  <si>
    <t>Average Capacity Usage (% capacity)</t>
  </si>
  <si>
    <t>OPEX (excluding D&amp;A) - EUR</t>
  </si>
  <si>
    <t>Investment (CAPEX) - EUR</t>
  </si>
  <si>
    <t>Capacity / cars</t>
  </si>
  <si>
    <t>Gross Profit Margin</t>
  </si>
  <si>
    <t>EBITDA Margin</t>
  </si>
  <si>
    <t>Long Term Growth Rate</t>
  </si>
  <si>
    <t>LT GDP Growth Rate</t>
  </si>
  <si>
    <t>Capacity usage 2028</t>
  </si>
  <si>
    <t>Greece / Grécia</t>
  </si>
  <si>
    <t>Tax rate / Taxa Imposto</t>
  </si>
  <si>
    <t>NPV / VAL</t>
  </si>
  <si>
    <t>IRR / TIR</t>
  </si>
  <si>
    <t>Best project using NPV / Melhor projeto de acordo com o VAL</t>
  </si>
  <si>
    <t>Best project using IRR / Melhor projeto de acordo com a TIR</t>
  </si>
  <si>
    <t>Greece/Grécia</t>
  </si>
  <si>
    <t>LT World GDP Growth Rate</t>
  </si>
  <si>
    <t>Sensitivity analysis - Change in WACC</t>
  </si>
  <si>
    <t>Análise de Sensibilidade - Alteração do WACC</t>
  </si>
  <si>
    <t>FCF Portugal</t>
  </si>
  <si>
    <t>FCF Greece/Grécia</t>
  </si>
  <si>
    <t>New NPV /Novo VAL</t>
  </si>
  <si>
    <t>In both scenarios, Greece is the best option, which is aligned with the decision in the base case</t>
  </si>
  <si>
    <t>Em ambos os cenários, a Grécia é a melhor opção, alinhada com a decisão do cenário base.</t>
  </si>
  <si>
    <t>FCF 2028</t>
  </si>
  <si>
    <t>PV = VA = C / (r-g)</t>
  </si>
  <si>
    <t>PV Perpetuity 2028 / VA Perpetuidade 2028</t>
  </si>
  <si>
    <t>Best project using payback / Melhor projeto de acordo com o payback</t>
  </si>
  <si>
    <t>Best project using discounted payback / Melhor projeto de acordo com o payback descontado</t>
  </si>
  <si>
    <t>Book Value</t>
  </si>
  <si>
    <t>Grécia - Portugal</t>
  </si>
  <si>
    <t>Adjusted Sales</t>
  </si>
  <si>
    <t>Changing Cells:</t>
  </si>
  <si>
    <t>Current Values:</t>
  </si>
  <si>
    <t>Result Cells:</t>
  </si>
  <si>
    <t>Notes:  Current Values column represents values of changing cells at</t>
  </si>
  <si>
    <t>time Scenario Summary Report was created.  Changing cells for each</t>
  </si>
  <si>
    <t>scenario are highlighted in gray.</t>
  </si>
  <si>
    <t>Break-even</t>
  </si>
  <si>
    <t>1.5 point</t>
  </si>
  <si>
    <t>9,5 points</t>
  </si>
  <si>
    <t>0.2 extra points</t>
  </si>
  <si>
    <t>(g 0,25; t 0,25; sales 0,5; depreciations 0,5; NWC 0,5; ebit(1-t) 0,5; FCF 0,5; liquidation value 0,5)</t>
  </si>
  <si>
    <t>3,5 points</t>
  </si>
  <si>
    <t>1 point</t>
  </si>
  <si>
    <t>Qualidade da apresentação (p.ex., organização do ficheiro excel e do relatório)</t>
  </si>
  <si>
    <t>Sensitivity Analysis / Análise de Sensibilidade</t>
  </si>
  <si>
    <t>Conclusions / Conclusões</t>
  </si>
  <si>
    <r>
      <t>b.</t>
    </r>
    <r>
      <rPr>
        <sz val="7"/>
        <color rgb="FF000000"/>
        <rFont val="Times New Roman"/>
        <family val="1"/>
      </rPr>
      <t xml:space="preserve">       </t>
    </r>
    <r>
      <rPr>
        <sz val="11"/>
        <color rgb="FF000000"/>
        <rFont val="Calibri"/>
        <family val="2"/>
      </rPr>
      <t>Discounted Payback</t>
    </r>
    <r>
      <rPr>
        <sz val="11"/>
        <color theme="1"/>
        <rFont val="Calibri"/>
        <family val="2"/>
        <scheme val="minor"/>
      </rPr>
      <t xml:space="preserve"> / Payback Descontado</t>
    </r>
  </si>
  <si>
    <r>
      <t>c.</t>
    </r>
    <r>
      <rPr>
        <sz val="7"/>
        <color rgb="FF000000"/>
        <rFont val="Times New Roman"/>
        <family val="1"/>
      </rPr>
      <t xml:space="preserve">       </t>
    </r>
    <r>
      <rPr>
        <sz val="11"/>
        <color rgb="FF000000"/>
        <rFont val="Calibri"/>
        <family val="2"/>
      </rPr>
      <t>NPV / VAL</t>
    </r>
  </si>
  <si>
    <r>
      <t>d.</t>
    </r>
    <r>
      <rPr>
        <sz val="7"/>
        <color rgb="FF000000"/>
        <rFont val="Times New Roman"/>
        <family val="1"/>
      </rPr>
      <t xml:space="preserve">       </t>
    </r>
    <r>
      <rPr>
        <sz val="11"/>
        <color rgb="FF000000"/>
        <rFont val="Calibri"/>
        <family val="2"/>
      </rPr>
      <t>IRR / TIR</t>
    </r>
  </si>
  <si>
    <r>
      <t>e.</t>
    </r>
    <r>
      <rPr>
        <sz val="7"/>
        <color rgb="FF000000"/>
        <rFont val="Times New Roman"/>
        <family val="1"/>
      </rPr>
      <t xml:space="preserve">       </t>
    </r>
    <r>
      <rPr>
        <sz val="11"/>
        <color rgb="FF000000"/>
        <rFont val="Calibri"/>
        <family val="2"/>
      </rPr>
      <t>Other analyses that you may find relevant / Outras análises que considere relevantes.</t>
    </r>
  </si>
  <si>
    <r>
      <t xml:space="preserve">A questão </t>
    </r>
    <r>
      <rPr>
        <u/>
        <sz val="11"/>
        <color rgb="FFC00000"/>
        <rFont val="Calibri"/>
        <family val="2"/>
        <scheme val="minor"/>
      </rPr>
      <t>e.</t>
    </r>
    <r>
      <rPr>
        <sz val="11"/>
        <color rgb="FFC00000"/>
        <rFont val="Calibri"/>
        <family val="2"/>
        <scheme val="minor"/>
      </rPr>
      <t xml:space="preserve"> serve de alguma forma para diferenciar os melhores alunos (p.ex., Indiference Point; Profitability Index; ou outros)</t>
    </r>
  </si>
  <si>
    <r>
      <t>a.</t>
    </r>
    <r>
      <rPr>
        <sz val="7"/>
        <color rgb="FF000000"/>
        <rFont val="Times New Roman"/>
        <family val="1"/>
      </rPr>
      <t xml:space="preserve">       </t>
    </r>
    <r>
      <rPr>
        <sz val="11"/>
        <color rgb="FF000000"/>
        <rFont val="Calibri"/>
        <family val="2"/>
      </rPr>
      <t>Payback</t>
    </r>
  </si>
  <si>
    <t>Calcular FCFF</t>
  </si>
  <si>
    <t>(g 0,25; t 0,25; vendas 0,5; depreciações 0,5; NWC 0,5; ebit(1-t) 0,5; FCF 0,5; valor de liquidação 0,5)</t>
  </si>
  <si>
    <t>Calcular a perpetuidade ou explicar muito bem que não vai alterar a decisão</t>
  </si>
  <si>
    <t>Compute scenarios / Estimar os cenários</t>
  </si>
  <si>
    <t>It is also acceptable to include surcharges for Portugal - 31,5%. / É igualmente aceitável incluir derramas para Portugal - 31,5%.</t>
  </si>
  <si>
    <t>Assumptions / Pressupostos</t>
  </si>
  <si>
    <t>Investiment (CAPEX) / Investimento</t>
  </si>
  <si>
    <t>Depreciations / Depreciações</t>
  </si>
  <si>
    <t>Others assumptions about the liquidity value were also accepted (e.g., CAPEX stops in 2028, CAPEX from 2029 are expected to grow at the long-term world's GDP growth rate, or other)</t>
  </si>
  <si>
    <t>Outros pressuposto sobre o valor de liquidação também foram aceites (p.ex., o CAPEX pára em 2028, os CAPEX deverão crescer desde a partir de 2029 à taxa de crescimento de longo prazo do PIB mundial, ou outros)</t>
  </si>
  <si>
    <t>New IRR /Nova TIR (IRR formula)</t>
  </si>
  <si>
    <t>New IRR /Nova TIR (Solver or Goal Seek)</t>
  </si>
  <si>
    <t>Sensitivity analysis - Change in g</t>
  </si>
  <si>
    <t>Análise de Sensibilidade - Alteração no g</t>
  </si>
  <si>
    <t>Sensitivity analysis - Change in sale price of model 3 and X</t>
  </si>
  <si>
    <t>Análise de Sensibilidade - Alteração no preço de venda do modelo 3 e X</t>
  </si>
  <si>
    <t>Model 3 Price</t>
  </si>
  <si>
    <t>Model X Price</t>
  </si>
  <si>
    <t>Compute perpetuity or explain very well that it will not change the decision</t>
  </si>
  <si>
    <t>Scenario Summary - Portugal</t>
  </si>
  <si>
    <t>Created by Pedro Carvalho on 03/12/2020</t>
  </si>
  <si>
    <t>Capacity Usage 2028</t>
  </si>
  <si>
    <t>IRR</t>
  </si>
  <si>
    <t>Created by Pedro Carvalho on 03/12/2020
Modified by Pedro Carvalho on 03/12/2020</t>
  </si>
  <si>
    <t>Scenario Summary - Greece</t>
  </si>
  <si>
    <t>See page "Scenarios - Ex5". / Ver página "Scenarios - Ex5".</t>
  </si>
  <si>
    <t>Adjusted COGS</t>
  </si>
  <si>
    <t>Sensitivity analysis - Change in sales and COGS</t>
  </si>
  <si>
    <t>Análise de Sensibilidade - Alteração das vendas e custo das mercadorias vendidas</t>
  </si>
  <si>
    <t>Depreciations were accepted recognized in the own current year or in the following year. / Foram aceites depreciações reconhecidas no próprio ano ou no ano seguinte.</t>
  </si>
  <si>
    <t>Assuming that CAPEX ends in 2028:</t>
  </si>
  <si>
    <t>Total Capex =</t>
  </si>
  <si>
    <t>Total Dep =</t>
  </si>
  <si>
    <t>Book Value =</t>
  </si>
  <si>
    <t>Assuming that CAPEX stops in 2028: / Assumindo que o CAPEX pára em 2028:</t>
  </si>
  <si>
    <t>Assuming that CAPEX will remain constant from 2029 / Assumindo que o CAPEX vai permanecer constante a partir de 2029.</t>
  </si>
  <si>
    <t>Assumindo que o CAPEX pára em 2028:</t>
  </si>
  <si>
    <t>Considering that the two projects are mutually exclusive, despite payback point to Portugal to build the Gigafactory, both discounted payback, NPV and IRR point to the choice of Greece for the construction of the Gigafactory.</t>
  </si>
  <si>
    <t>Considerando que os projetos são mutuamente exclusivos, apesar de o payback apontar Portugal para construir a Gigafactory, tanto o payback descontado, o VAL e a TIR apontam para a escolha da Grécia para a construção da Gigafactory.</t>
  </si>
  <si>
    <t>You could also compute the PV of the perpetuity in other year (for example, in 2040). Keep recommendation as in exercise 2.</t>
  </si>
  <si>
    <t>Também poderia ser calculado o VA da perpetuidade noutro ano (por exemplo, 2040). Manter a recomedação do exercício 2.</t>
  </si>
  <si>
    <t>See sensitivity analysis on page "Sensitivity - Ex4". / Ver análise de sensibilidade na página "Sensitivity - Ex4".</t>
  </si>
  <si>
    <t>OECD forecast until 2060. Division between 2028-2040; 2028-2060 for perpetuity. / Previsão OCDE até 2060. Divisão entre 2028-2040; 2028-2060 para a perpetuidade.</t>
  </si>
  <si>
    <t>Break-Even Analysis - Sales and COGS</t>
  </si>
  <si>
    <t>Análise Break-Even - Vendas e CMV</t>
  </si>
  <si>
    <t>In order to get NPV = 0.</t>
  </si>
  <si>
    <t>De modo a obter VAL = 0.</t>
  </si>
  <si>
    <t>Changing one input:</t>
  </si>
  <si>
    <t>Alterando uma variável:</t>
  </si>
  <si>
    <t>Changing two inputs:</t>
  </si>
  <si>
    <t>Alterando duas variáveis:</t>
  </si>
  <si>
    <t>Data -&gt; What-if Analysis -&gt; Scenario Manager</t>
  </si>
  <si>
    <t>Data -&gt; What-if Analysis -&gt; Data Table</t>
  </si>
  <si>
    <t>Data -&gt; What-if Analysis -&gt; Goal Seek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</si>
</sst>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_ ;\-#,##0.0\ "/>
    <numFmt numFmtId="166" formatCode="\ \ \ \ \ @"/>
    <numFmt numFmtId="167" formatCode="#,##0_ ;\-#,##0\ "/>
    <numFmt numFmtId="168" formatCode="#\ \y\ ?/12"/>
    <numFmt numFmtId="169" formatCode="#,##0.0_ ;[Red]\-#,##0.0\ "/>
    <numFmt numFmtId="170" formatCode="#,##0_ ;[Red]\-#,##0\ "/>
    <numFmt numFmtId="171" formatCode="#,##0\ _€;[Red]\-#,##0\ _€"/>
    <numFmt numFmtId="172" formatCode="_-* #,##0_-;\-* #,##0_-;_-* &quot;-&quot;??_-;_-@_-"/>
    <numFmt numFmtId="173" formatCode="#,##0.00_ ;\-#,##0.00\ "/>
  </numFmts>
  <fonts count="3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C00000"/>
      <name val="Calibri"/>
      <family val="2"/>
      <scheme val="minor"/>
    </font>
    <font>
      <b/>
      <sz val="11"/>
      <color rgb="FFC00000"/>
      <name val="Calibri"/>
      <family val="2"/>
      <scheme val="minor"/>
    </font>
    <font>
      <i/>
      <sz val="11"/>
      <color theme="8" tint="-0.249977111117893"/>
      <name val="Calibri"/>
      <family val="2"/>
      <scheme val="minor"/>
    </font>
    <font>
      <sz val="11"/>
      <color theme="1"/>
      <name val="Symbol"/>
      <family val="1"/>
      <charset val="2"/>
    </font>
    <font>
      <sz val="11"/>
      <color theme="1"/>
      <name val="Calibri"/>
      <family val="2"/>
    </font>
    <font>
      <sz val="11"/>
      <color theme="1"/>
      <name val="Calibri"/>
      <family val="1"/>
      <charset val="2"/>
    </font>
    <font>
      <sz val="12"/>
      <color theme="1"/>
      <name val="Cambria"/>
      <family val="1"/>
    </font>
    <font>
      <sz val="11"/>
      <color rgb="FF000000"/>
      <name val="Calibri"/>
      <family val="2"/>
    </font>
    <font>
      <sz val="7"/>
      <color rgb="FF000000"/>
      <name val="Times New Roman"/>
      <family val="1"/>
    </font>
    <font>
      <u/>
      <sz val="11"/>
      <color rgb="FFC00000"/>
      <name val="Calibri"/>
      <family val="2"/>
      <scheme val="minor"/>
    </font>
    <font>
      <sz val="11"/>
      <color theme="8"/>
      <name val="Calibri"/>
      <family val="2"/>
      <scheme val="minor"/>
    </font>
    <font>
      <sz val="10"/>
      <color indexed="9"/>
      <name val="Calibri"/>
      <family val="2"/>
      <scheme val="minor"/>
    </font>
    <font>
      <sz val="8"/>
      <color theme="1"/>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44546A"/>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C00000"/>
        <bgColor indexed="64"/>
      </patternFill>
    </fill>
    <fill>
      <patternFill patternType="solid">
        <fgColor theme="2"/>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theme="4" tint="0.79998168889431442"/>
        <bgColor indexed="64"/>
      </patternFill>
    </fill>
    <fill>
      <patternFill patternType="solid">
        <fgColor theme="3"/>
        <bgColor indexed="64"/>
      </patternFill>
    </fill>
    <fill>
      <patternFill patternType="solid">
        <fgColor theme="3" tint="0.399975585192419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12">
    <xf numFmtId="0" fontId="0" fillId="0" borderId="0" xfId="0"/>
    <xf numFmtId="0" fontId="0" fillId="0" borderId="0" xfId="0"/>
    <xf numFmtId="0" fontId="0" fillId="0" borderId="0" xfId="0" applyAlignment="1">
      <alignment horizontal="center"/>
    </xf>
    <xf numFmtId="0" fontId="19" fillId="0" borderId="0" xfId="0" applyFont="1"/>
    <xf numFmtId="0" fontId="20" fillId="0" borderId="0" xfId="0" applyFont="1"/>
    <xf numFmtId="0" fontId="16" fillId="0" borderId="0" xfId="0" applyFont="1"/>
    <xf numFmtId="0" fontId="0" fillId="0" borderId="0" xfId="0" applyAlignment="1">
      <alignment horizontal="right"/>
    </xf>
    <xf numFmtId="164" fontId="0" fillId="0" borderId="0" xfId="44" applyNumberFormat="1" applyFont="1" applyAlignment="1">
      <alignment horizontal="right"/>
    </xf>
    <xf numFmtId="165" fontId="0" fillId="0" borderId="0" xfId="45" applyNumberFormat="1" applyFont="1" applyAlignment="1">
      <alignment horizontal="right"/>
    </xf>
    <xf numFmtId="165" fontId="0" fillId="0" borderId="0" xfId="0" applyNumberFormat="1" applyAlignment="1">
      <alignment horizontal="right"/>
    </xf>
    <xf numFmtId="164" fontId="0" fillId="0" borderId="0" xfId="0" applyNumberFormat="1" applyAlignment="1">
      <alignment horizontal="right"/>
    </xf>
    <xf numFmtId="164" fontId="21" fillId="0" borderId="0" xfId="44" applyNumberFormat="1" applyFont="1" applyAlignment="1">
      <alignment horizontal="right"/>
    </xf>
    <xf numFmtId="0" fontId="24" fillId="0" borderId="0" xfId="0" applyFont="1"/>
    <xf numFmtId="10" fontId="0" fillId="0" borderId="0" xfId="44" applyNumberFormat="1" applyFont="1" applyAlignment="1">
      <alignment horizontal="right"/>
    </xf>
    <xf numFmtId="0" fontId="16" fillId="0" borderId="0" xfId="0" applyFont="1" applyAlignment="1">
      <alignment horizontal="right"/>
    </xf>
    <xf numFmtId="0" fontId="13" fillId="34" borderId="0" xfId="0" applyFont="1" applyFill="1" applyAlignment="1">
      <alignment horizontal="center"/>
    </xf>
    <xf numFmtId="0" fontId="13" fillId="34" borderId="12" xfId="0" applyFont="1" applyFill="1" applyBorder="1" applyAlignment="1">
      <alignment horizontal="center"/>
    </xf>
    <xf numFmtId="0" fontId="16" fillId="33" borderId="16" xfId="0" applyFont="1" applyFill="1" applyBorder="1"/>
    <xf numFmtId="166" fontId="0" fillId="0" borderId="16" xfId="0" applyNumberFormat="1" applyFont="1" applyBorder="1"/>
    <xf numFmtId="0" fontId="0" fillId="0" borderId="0" xfId="0" applyBorder="1" applyAlignment="1">
      <alignment horizontal="right"/>
    </xf>
    <xf numFmtId="0" fontId="0" fillId="0" borderId="17" xfId="0" applyBorder="1" applyAlignment="1">
      <alignment horizontal="right"/>
    </xf>
    <xf numFmtId="0" fontId="0" fillId="0" borderId="16" xfId="0" applyBorder="1"/>
    <xf numFmtId="165" fontId="0" fillId="0" borderId="0" xfId="45" applyNumberFormat="1" applyFont="1" applyBorder="1" applyAlignment="1">
      <alignment horizontal="right"/>
    </xf>
    <xf numFmtId="165" fontId="0" fillId="0" borderId="17" xfId="45" applyNumberFormat="1" applyFont="1" applyBorder="1" applyAlignment="1">
      <alignment horizontal="right"/>
    </xf>
    <xf numFmtId="164" fontId="0" fillId="33" borderId="0" xfId="44" applyNumberFormat="1" applyFont="1" applyFill="1" applyBorder="1" applyAlignment="1">
      <alignment horizontal="right"/>
    </xf>
    <xf numFmtId="164" fontId="0" fillId="33" borderId="17" xfId="44" applyNumberFormat="1" applyFont="1" applyFill="1" applyBorder="1" applyAlignment="1">
      <alignment horizontal="right"/>
    </xf>
    <xf numFmtId="164" fontId="0" fillId="0" borderId="0" xfId="0" applyNumberFormat="1" applyBorder="1" applyAlignment="1">
      <alignment horizontal="right"/>
    </xf>
    <xf numFmtId="164" fontId="0" fillId="0" borderId="17" xfId="0" applyNumberFormat="1" applyBorder="1" applyAlignment="1">
      <alignment horizontal="right"/>
    </xf>
    <xf numFmtId="166" fontId="0" fillId="0" borderId="13" xfId="0" applyNumberFormat="1" applyFont="1" applyBorder="1"/>
    <xf numFmtId="0" fontId="0" fillId="0" borderId="14" xfId="0" applyBorder="1" applyAlignment="1">
      <alignment horizontal="right"/>
    </xf>
    <xf numFmtId="167" fontId="0" fillId="0" borderId="0" xfId="45" applyNumberFormat="1" applyFont="1" applyAlignment="1">
      <alignment horizontal="center"/>
    </xf>
    <xf numFmtId="0" fontId="26" fillId="0" borderId="0" xfId="0" applyFont="1" applyAlignment="1">
      <alignment vertical="center"/>
    </xf>
    <xf numFmtId="0" fontId="25" fillId="0" borderId="0" xfId="0" applyFont="1"/>
    <xf numFmtId="0" fontId="16" fillId="35" borderId="0" xfId="0" applyFont="1" applyFill="1"/>
    <xf numFmtId="165" fontId="16" fillId="35" borderId="0" xfId="45" applyNumberFormat="1" applyFont="1" applyFill="1" applyAlignment="1">
      <alignment horizontal="center"/>
    </xf>
    <xf numFmtId="168" fontId="16" fillId="35" borderId="0" xfId="45" applyNumberFormat="1" applyFont="1" applyFill="1" applyAlignment="1">
      <alignment horizontal="center"/>
    </xf>
    <xf numFmtId="10" fontId="16" fillId="35" borderId="0" xfId="44" applyNumberFormat="1" applyFont="1" applyFill="1" applyAlignment="1">
      <alignment horizontal="center"/>
    </xf>
    <xf numFmtId="165" fontId="19" fillId="0" borderId="0" xfId="45" applyNumberFormat="1" applyFont="1" applyAlignment="1">
      <alignment horizontal="left"/>
    </xf>
    <xf numFmtId="164" fontId="13" fillId="34" borderId="11" xfId="44" applyNumberFormat="1" applyFont="1" applyFill="1" applyBorder="1" applyAlignment="1">
      <alignment horizontal="center"/>
    </xf>
    <xf numFmtId="164" fontId="13" fillId="34" borderId="11" xfId="0" applyNumberFormat="1" applyFont="1" applyFill="1" applyBorder="1" applyAlignment="1">
      <alignment horizontal="center"/>
    </xf>
    <xf numFmtId="164" fontId="13" fillId="34" borderId="10" xfId="0" applyNumberFormat="1" applyFont="1" applyFill="1" applyBorder="1" applyAlignment="1">
      <alignment horizontal="center"/>
    </xf>
    <xf numFmtId="0" fontId="0" fillId="0" borderId="0" xfId="0" applyAlignment="1">
      <alignment horizontal="left"/>
    </xf>
    <xf numFmtId="0" fontId="0" fillId="0" borderId="11" xfId="0" applyBorder="1"/>
    <xf numFmtId="0" fontId="0" fillId="0" borderId="0" xfId="0" applyBorder="1"/>
    <xf numFmtId="0" fontId="16" fillId="33" borderId="16" xfId="0" applyFont="1" applyFill="1" applyBorder="1" applyAlignment="1">
      <alignment horizontal="center"/>
    </xf>
    <xf numFmtId="0" fontId="16" fillId="33" borderId="0" xfId="0" applyFont="1" applyFill="1" applyBorder="1" applyAlignment="1">
      <alignment horizontal="center"/>
    </xf>
    <xf numFmtId="0" fontId="0" fillId="0" borderId="16" xfId="0" applyBorder="1" applyAlignment="1">
      <alignment horizontal="left"/>
    </xf>
    <xf numFmtId="0" fontId="0" fillId="0" borderId="0" xfId="0" applyBorder="1" applyAlignment="1">
      <alignment horizontal="center"/>
    </xf>
    <xf numFmtId="10" fontId="0" fillId="0" borderId="0" xfId="0" applyNumberFormat="1" applyBorder="1" applyAlignment="1">
      <alignment horizontal="center"/>
    </xf>
    <xf numFmtId="10" fontId="0" fillId="0" borderId="17" xfId="0" applyNumberFormat="1" applyBorder="1" applyAlignment="1">
      <alignment horizontal="center"/>
    </xf>
    <xf numFmtId="0" fontId="0" fillId="0" borderId="13" xfId="0" applyBorder="1" applyAlignment="1">
      <alignment horizontal="left"/>
    </xf>
    <xf numFmtId="0" fontId="0" fillId="0" borderId="14" xfId="0" applyBorder="1" applyAlignment="1">
      <alignment horizontal="center"/>
    </xf>
    <xf numFmtId="164" fontId="0" fillId="0" borderId="14" xfId="44" applyNumberFormat="1" applyFont="1" applyBorder="1" applyAlignment="1">
      <alignment horizontal="center"/>
    </xf>
    <xf numFmtId="0" fontId="0" fillId="0" borderId="14" xfId="0" applyBorder="1"/>
    <xf numFmtId="164" fontId="0" fillId="0" borderId="15" xfId="44" applyNumberFormat="1" applyFont="1" applyBorder="1" applyAlignment="1">
      <alignment horizontal="center"/>
    </xf>
    <xf numFmtId="0" fontId="0" fillId="0" borderId="12" xfId="0" applyBorder="1"/>
    <xf numFmtId="165" fontId="13" fillId="37" borderId="0" xfId="45" applyNumberFormat="1" applyFont="1" applyFill="1" applyAlignment="1">
      <alignment horizontal="center"/>
    </xf>
    <xf numFmtId="0" fontId="13" fillId="37" borderId="0" xfId="45" applyNumberFormat="1" applyFont="1" applyFill="1" applyAlignment="1">
      <alignment horizontal="center"/>
    </xf>
    <xf numFmtId="14" fontId="13" fillId="34" borderId="11" xfId="0" applyNumberFormat="1" applyFont="1" applyFill="1" applyBorder="1" applyAlignment="1">
      <alignment horizontal="center"/>
    </xf>
    <xf numFmtId="166" fontId="0" fillId="0" borderId="16" xfId="0" applyNumberFormat="1" applyBorder="1"/>
    <xf numFmtId="166" fontId="0" fillId="0" borderId="16" xfId="0" applyNumberFormat="1" applyBorder="1" applyAlignment="1">
      <alignment horizontal="left" indent="1"/>
    </xf>
    <xf numFmtId="166" fontId="0" fillId="0" borderId="16" xfId="0" applyNumberFormat="1" applyBorder="1" applyAlignment="1">
      <alignment horizontal="left"/>
    </xf>
    <xf numFmtId="166" fontId="0" fillId="0" borderId="16" xfId="0" applyNumberFormat="1" applyFill="1" applyBorder="1" applyAlignment="1">
      <alignment horizontal="left"/>
    </xf>
    <xf numFmtId="14" fontId="13" fillId="34" borderId="10" xfId="0" applyNumberFormat="1" applyFont="1" applyFill="1" applyBorder="1" applyAlignment="1">
      <alignment horizontal="center"/>
    </xf>
    <xf numFmtId="14" fontId="13" fillId="34" borderId="0" xfId="0" applyNumberFormat="1" applyFont="1" applyFill="1" applyAlignment="1">
      <alignment horizontal="center"/>
    </xf>
    <xf numFmtId="167" fontId="0" fillId="0" borderId="0" xfId="45" applyNumberFormat="1" applyFont="1" applyAlignment="1">
      <alignment horizontal="right"/>
    </xf>
    <xf numFmtId="167" fontId="0" fillId="0" borderId="0" xfId="0" applyNumberFormat="1" applyAlignment="1">
      <alignment horizontal="right"/>
    </xf>
    <xf numFmtId="167" fontId="0" fillId="0" borderId="0" xfId="45" applyNumberFormat="1" applyFont="1" applyBorder="1" applyAlignment="1">
      <alignment horizontal="right"/>
    </xf>
    <xf numFmtId="167" fontId="0" fillId="0" borderId="17" xfId="45" applyNumberFormat="1" applyFont="1" applyBorder="1" applyAlignment="1">
      <alignment horizontal="right"/>
    </xf>
    <xf numFmtId="0" fontId="29" fillId="0" borderId="0" xfId="0" applyFont="1"/>
    <xf numFmtId="9" fontId="0" fillId="0" borderId="0" xfId="0" applyNumberFormat="1" applyAlignment="1">
      <alignment horizontal="right"/>
    </xf>
    <xf numFmtId="167" fontId="16" fillId="35" borderId="0" xfId="45" applyNumberFormat="1" applyFont="1" applyFill="1" applyAlignment="1">
      <alignment horizontal="right"/>
    </xf>
    <xf numFmtId="167" fontId="16" fillId="35" borderId="0" xfId="45" applyNumberFormat="1" applyFont="1" applyFill="1" applyAlignment="1">
      <alignment horizontal="center"/>
    </xf>
    <xf numFmtId="0" fontId="13" fillId="0" borderId="0" xfId="0" applyFont="1" applyFill="1" applyAlignment="1">
      <alignment horizontal="center"/>
    </xf>
    <xf numFmtId="164" fontId="29" fillId="0" borderId="0" xfId="44" applyNumberFormat="1" applyFont="1" applyAlignment="1">
      <alignment horizontal="right"/>
    </xf>
    <xf numFmtId="167" fontId="16" fillId="0" borderId="0" xfId="45" applyNumberFormat="1" applyFont="1" applyAlignment="1">
      <alignment horizontal="right"/>
    </xf>
    <xf numFmtId="9" fontId="0" fillId="0" borderId="0" xfId="44" applyFont="1" applyBorder="1" applyAlignment="1">
      <alignment horizontal="center"/>
    </xf>
    <xf numFmtId="0" fontId="16" fillId="0" borderId="0" xfId="0" applyFont="1" applyFill="1"/>
    <xf numFmtId="0" fontId="0" fillId="0" borderId="0" xfId="0" applyFill="1" applyAlignment="1">
      <alignment horizontal="right"/>
    </xf>
    <xf numFmtId="10" fontId="16" fillId="0" borderId="0" xfId="44" applyNumberFormat="1" applyFont="1" applyFill="1" applyAlignment="1">
      <alignment horizontal="center"/>
    </xf>
    <xf numFmtId="0" fontId="0" fillId="0" borderId="0" xfId="0" applyFill="1"/>
    <xf numFmtId="167" fontId="0" fillId="0" borderId="13" xfId="45" applyNumberFormat="1" applyFont="1" applyBorder="1" applyAlignment="1">
      <alignment horizontal="center"/>
    </xf>
    <xf numFmtId="167" fontId="0" fillId="0" borderId="14" xfId="45" applyNumberFormat="1" applyFont="1" applyBorder="1" applyAlignment="1">
      <alignment horizontal="center"/>
    </xf>
    <xf numFmtId="167" fontId="0" fillId="0" borderId="15" xfId="45" applyNumberFormat="1" applyFont="1" applyBorder="1" applyAlignment="1">
      <alignment horizontal="center"/>
    </xf>
    <xf numFmtId="0" fontId="13" fillId="0" borderId="0" xfId="45" applyNumberFormat="1" applyFont="1" applyFill="1" applyAlignment="1">
      <alignment horizontal="center"/>
    </xf>
    <xf numFmtId="166" fontId="0" fillId="0" borderId="0" xfId="0" applyNumberFormat="1" applyFont="1" applyBorder="1"/>
    <xf numFmtId="169" fontId="0" fillId="0" borderId="0" xfId="0" applyNumberFormat="1" applyBorder="1" applyAlignment="1">
      <alignment horizontal="center"/>
    </xf>
    <xf numFmtId="164" fontId="0" fillId="0" borderId="0" xfId="44" applyNumberFormat="1" applyFont="1" applyBorder="1" applyAlignment="1">
      <alignment horizontal="center"/>
    </xf>
    <xf numFmtId="167" fontId="0" fillId="0" borderId="0" xfId="0" applyNumberFormat="1" applyBorder="1" applyAlignment="1">
      <alignment horizontal="right"/>
    </xf>
    <xf numFmtId="0" fontId="16" fillId="0" borderId="0" xfId="0" applyFont="1" applyBorder="1"/>
    <xf numFmtId="0" fontId="0" fillId="38" borderId="0" xfId="0" applyFill="1" applyBorder="1"/>
    <xf numFmtId="166" fontId="0" fillId="38" borderId="0" xfId="0" applyNumberFormat="1" applyFont="1" applyFill="1" applyBorder="1"/>
    <xf numFmtId="170" fontId="0" fillId="38" borderId="0" xfId="0" applyNumberFormat="1" applyFill="1" applyBorder="1" applyAlignment="1">
      <alignment horizontal="center"/>
    </xf>
    <xf numFmtId="167" fontId="0" fillId="0" borderId="0" xfId="0" applyNumberFormat="1" applyFill="1" applyBorder="1" applyAlignment="1">
      <alignment horizontal="right"/>
    </xf>
    <xf numFmtId="0" fontId="16" fillId="38" borderId="0" xfId="0" applyFont="1" applyFill="1"/>
    <xf numFmtId="0" fontId="0" fillId="38" borderId="0" xfId="0" applyFill="1" applyAlignment="1">
      <alignment horizontal="right"/>
    </xf>
    <xf numFmtId="3" fontId="0" fillId="0" borderId="0" xfId="0" applyNumberFormat="1" applyAlignment="1">
      <alignment horizontal="right"/>
    </xf>
    <xf numFmtId="3" fontId="0" fillId="0" borderId="17" xfId="0" applyNumberFormat="1" applyBorder="1" applyAlignment="1">
      <alignment horizontal="right"/>
    </xf>
    <xf numFmtId="3" fontId="0" fillId="0" borderId="14" xfId="0" applyNumberFormat="1" applyBorder="1" applyAlignment="1">
      <alignment horizontal="right"/>
    </xf>
    <xf numFmtId="3" fontId="0" fillId="0" borderId="15" xfId="0" applyNumberFormat="1" applyBorder="1" applyAlignment="1">
      <alignment horizontal="right"/>
    </xf>
    <xf numFmtId="167" fontId="0" fillId="0" borderId="0" xfId="0" applyNumberFormat="1"/>
    <xf numFmtId="14" fontId="13" fillId="0" borderId="0" xfId="0" applyNumberFormat="1" applyFont="1" applyFill="1" applyAlignment="1">
      <alignment horizontal="center"/>
    </xf>
    <xf numFmtId="171" fontId="0" fillId="38" borderId="0" xfId="0" applyNumberFormat="1" applyFill="1" applyAlignment="1">
      <alignment horizontal="center"/>
    </xf>
    <xf numFmtId="172" fontId="0" fillId="0" borderId="0" xfId="45" applyNumberFormat="1" applyFont="1"/>
    <xf numFmtId="0" fontId="0" fillId="0" borderId="0" xfId="0" applyAlignment="1">
      <alignment horizontal="center"/>
    </xf>
    <xf numFmtId="165" fontId="0" fillId="0" borderId="0" xfId="45" applyNumberFormat="1" applyFont="1" applyAlignment="1">
      <alignment horizontal="left"/>
    </xf>
    <xf numFmtId="14" fontId="0" fillId="0" borderId="0" xfId="0" applyNumberFormat="1"/>
    <xf numFmtId="3" fontId="0" fillId="0" borderId="0" xfId="0" applyNumberFormat="1"/>
    <xf numFmtId="10" fontId="0" fillId="38" borderId="0" xfId="44" applyNumberFormat="1" applyFont="1" applyFill="1" applyBorder="1" applyAlignment="1">
      <alignment horizontal="center"/>
    </xf>
    <xf numFmtId="10" fontId="0" fillId="0" borderId="0" xfId="44" applyNumberFormat="1" applyFont="1" applyBorder="1" applyAlignment="1">
      <alignment horizontal="center"/>
    </xf>
    <xf numFmtId="0" fontId="0" fillId="0" borderId="0" xfId="0" applyFill="1" applyBorder="1" applyAlignment="1"/>
    <xf numFmtId="10" fontId="0" fillId="0" borderId="0" xfId="0" applyNumberFormat="1" applyFill="1" applyBorder="1" applyAlignment="1"/>
    <xf numFmtId="9" fontId="0" fillId="0" borderId="0" xfId="0" applyNumberFormat="1" applyFill="1" applyBorder="1" applyAlignment="1"/>
    <xf numFmtId="164" fontId="0" fillId="0" borderId="0" xfId="0" applyNumberFormat="1" applyFill="1" applyBorder="1" applyAlignment="1"/>
    <xf numFmtId="167" fontId="0" fillId="0" borderId="0" xfId="0" applyNumberFormat="1" applyFill="1" applyBorder="1" applyAlignment="1"/>
    <xf numFmtId="10" fontId="0" fillId="0" borderId="19" xfId="0" applyNumberFormat="1" applyFill="1" applyBorder="1" applyAlignment="1"/>
    <xf numFmtId="0" fontId="0" fillId="0" borderId="20" xfId="0" applyFill="1" applyBorder="1" applyAlignment="1"/>
    <xf numFmtId="0" fontId="30" fillId="39" borderId="18" xfId="0" applyFont="1" applyFill="1" applyBorder="1" applyAlignment="1">
      <alignment horizontal="right"/>
    </xf>
    <xf numFmtId="0" fontId="30" fillId="39" borderId="14" xfId="0" applyFont="1" applyFill="1" applyBorder="1" applyAlignment="1">
      <alignment horizontal="right"/>
    </xf>
    <xf numFmtId="10" fontId="0" fillId="41" borderId="0" xfId="0" applyNumberFormat="1" applyFill="1" applyBorder="1" applyAlignment="1"/>
    <xf numFmtId="9" fontId="0" fillId="41" borderId="0" xfId="0" applyNumberFormat="1" applyFill="1" applyBorder="1" applyAlignment="1"/>
    <xf numFmtId="164" fontId="0" fillId="41" borderId="0" xfId="0" applyNumberFormat="1" applyFill="1" applyBorder="1" applyAlignment="1"/>
    <xf numFmtId="0" fontId="31" fillId="0" borderId="0" xfId="0" applyFont="1" applyFill="1" applyBorder="1" applyAlignment="1">
      <alignment vertical="top" wrapText="1"/>
    </xf>
    <xf numFmtId="0" fontId="0" fillId="0" borderId="0" xfId="0" applyAlignment="1">
      <alignment horizontal="center"/>
    </xf>
    <xf numFmtId="0" fontId="0" fillId="0" borderId="0" xfId="0" applyAlignment="1">
      <alignment horizontal="left"/>
    </xf>
    <xf numFmtId="3" fontId="0" fillId="0" borderId="0" xfId="0" applyNumberFormat="1" applyBorder="1" applyAlignment="1">
      <alignment horizontal="right"/>
    </xf>
    <xf numFmtId="0" fontId="16" fillId="0" borderId="21" xfId="0" applyFont="1" applyBorder="1"/>
    <xf numFmtId="0" fontId="16" fillId="0" borderId="21" xfId="0" applyFont="1" applyBorder="1" applyAlignment="1">
      <alignment horizontal="right"/>
    </xf>
    <xf numFmtId="9" fontId="0" fillId="0" borderId="21" xfId="0" applyNumberFormat="1" applyFill="1" applyBorder="1" applyAlignment="1">
      <alignment horizontal="right"/>
    </xf>
    <xf numFmtId="9" fontId="0" fillId="0" borderId="21" xfId="44" applyNumberFormat="1" applyFont="1" applyFill="1" applyBorder="1" applyAlignment="1">
      <alignment horizontal="right"/>
    </xf>
    <xf numFmtId="10" fontId="0" fillId="0" borderId="21" xfId="0" applyNumberFormat="1" applyFill="1" applyBorder="1" applyAlignment="1">
      <alignment horizontal="right"/>
    </xf>
    <xf numFmtId="10" fontId="0" fillId="0" borderId="21" xfId="44" applyNumberFormat="1" applyFont="1" applyFill="1" applyBorder="1" applyAlignment="1">
      <alignment horizontal="right"/>
    </xf>
    <xf numFmtId="0" fontId="0" fillId="0" borderId="21" xfId="0" applyFont="1" applyFill="1" applyBorder="1"/>
    <xf numFmtId="10" fontId="0" fillId="38" borderId="0" xfId="0" applyNumberFormat="1" applyFill="1" applyAlignment="1">
      <alignment horizontal="center"/>
    </xf>
    <xf numFmtId="3" fontId="13" fillId="34" borderId="11" xfId="0" applyNumberFormat="1" applyFont="1" applyFill="1" applyBorder="1" applyAlignment="1">
      <alignment horizontal="center"/>
    </xf>
    <xf numFmtId="3" fontId="0" fillId="0" borderId="12" xfId="0" applyNumberFormat="1" applyBorder="1" applyAlignment="1">
      <alignment horizontal="right"/>
    </xf>
    <xf numFmtId="3" fontId="13" fillId="34" borderId="10" xfId="0" applyNumberFormat="1" applyFont="1" applyFill="1" applyBorder="1" applyAlignment="1">
      <alignment horizontal="center"/>
    </xf>
    <xf numFmtId="3" fontId="13" fillId="34" borderId="12" xfId="44" applyNumberFormat="1" applyFont="1" applyFill="1" applyBorder="1" applyAlignment="1">
      <alignment horizontal="center"/>
    </xf>
    <xf numFmtId="3" fontId="13" fillId="34" borderId="22" xfId="44" applyNumberFormat="1" applyFont="1" applyFill="1" applyBorder="1" applyAlignment="1">
      <alignment horizontal="center"/>
    </xf>
    <xf numFmtId="167" fontId="16" fillId="0" borderId="0" xfId="45" applyNumberFormat="1" applyFont="1" applyFill="1" applyAlignment="1">
      <alignment horizontal="right"/>
    </xf>
    <xf numFmtId="0" fontId="32" fillId="39" borderId="14" xfId="0" applyFont="1" applyFill="1" applyBorder="1" applyAlignment="1">
      <alignment horizontal="left"/>
    </xf>
    <xf numFmtId="0" fontId="32" fillId="39" borderId="18" xfId="0" applyFont="1" applyFill="1" applyBorder="1" applyAlignment="1">
      <alignment horizontal="left"/>
    </xf>
    <xf numFmtId="0" fontId="33" fillId="40" borderId="0" xfId="0" applyFont="1" applyFill="1" applyBorder="1" applyAlignment="1">
      <alignment horizontal="left"/>
    </xf>
    <xf numFmtId="0" fontId="34" fillId="40" borderId="20" xfId="0" applyFont="1" applyFill="1" applyBorder="1" applyAlignment="1">
      <alignment horizontal="left"/>
    </xf>
    <xf numFmtId="0" fontId="33" fillId="40" borderId="19" xfId="0" applyFont="1" applyFill="1" applyBorder="1" applyAlignment="1">
      <alignment horizontal="left"/>
    </xf>
    <xf numFmtId="167" fontId="16" fillId="0" borderId="0" xfId="45" applyNumberFormat="1" applyFont="1" applyFill="1" applyAlignment="1">
      <alignment horizontal="center"/>
    </xf>
    <xf numFmtId="172" fontId="16" fillId="0" borderId="0" xfId="45" applyNumberFormat="1" applyFont="1" applyFill="1" applyAlignment="1">
      <alignment horizontal="center"/>
    </xf>
    <xf numFmtId="9" fontId="13" fillId="34" borderId="12" xfId="44" applyFont="1" applyFill="1" applyBorder="1" applyAlignment="1">
      <alignment horizontal="center"/>
    </xf>
    <xf numFmtId="167" fontId="0" fillId="0" borderId="0" xfId="45" applyNumberFormat="1" applyFont="1" applyFill="1" applyAlignment="1">
      <alignment horizontal="center"/>
    </xf>
    <xf numFmtId="167" fontId="0" fillId="0" borderId="0" xfId="0" applyNumberFormat="1" applyFill="1"/>
    <xf numFmtId="167" fontId="0" fillId="0" borderId="0" xfId="45" applyNumberFormat="1" applyFont="1" applyFill="1" applyAlignment="1">
      <alignment horizontal="right"/>
    </xf>
    <xf numFmtId="167" fontId="16" fillId="38" borderId="0" xfId="45" applyNumberFormat="1" applyFont="1" applyFill="1" applyAlignment="1">
      <alignment horizontal="right"/>
    </xf>
    <xf numFmtId="0" fontId="0" fillId="0" borderId="0" xfId="0" applyAlignment="1">
      <alignment horizontal="left"/>
    </xf>
    <xf numFmtId="165" fontId="0" fillId="0" borderId="0" xfId="45" applyNumberFormat="1" applyFont="1" applyFill="1" applyAlignment="1">
      <alignment horizontal="right"/>
    </xf>
    <xf numFmtId="173" fontId="16" fillId="35" borderId="0" xfId="45" applyNumberFormat="1" applyFont="1" applyFill="1" applyAlignment="1">
      <alignment horizontal="center"/>
    </xf>
    <xf numFmtId="172" fontId="0" fillId="0" borderId="0" xfId="45" applyNumberFormat="1" applyFont="1" applyBorder="1"/>
    <xf numFmtId="172" fontId="0" fillId="0" borderId="17" xfId="45" applyNumberFormat="1" applyFont="1" applyBorder="1"/>
    <xf numFmtId="172" fontId="0" fillId="0" borderId="0" xfId="45" applyNumberFormat="1" applyFont="1" applyBorder="1" applyAlignment="1">
      <alignment horizontal="right"/>
    </xf>
    <xf numFmtId="172" fontId="0" fillId="0" borderId="17" xfId="45" applyNumberFormat="1" applyFont="1" applyBorder="1" applyAlignment="1">
      <alignment horizontal="right"/>
    </xf>
    <xf numFmtId="0" fontId="0" fillId="0" borderId="0" xfId="0" applyAlignment="1">
      <alignment horizontal="left"/>
    </xf>
    <xf numFmtId="167" fontId="0" fillId="42" borderId="0" xfId="45" applyNumberFormat="1" applyFont="1" applyFill="1" applyAlignment="1">
      <alignment horizontal="right"/>
    </xf>
    <xf numFmtId="165" fontId="0" fillId="42" borderId="0" xfId="45" applyNumberFormat="1" applyFont="1" applyFill="1" applyAlignment="1">
      <alignment horizontal="right"/>
    </xf>
    <xf numFmtId="0" fontId="0" fillId="42" borderId="0" xfId="0" applyFill="1"/>
    <xf numFmtId="167" fontId="0" fillId="42" borderId="0" xfId="0" applyNumberFormat="1" applyFill="1"/>
    <xf numFmtId="167" fontId="16" fillId="42" borderId="0" xfId="45" applyNumberFormat="1" applyFont="1" applyFill="1" applyAlignment="1">
      <alignment horizontal="right"/>
    </xf>
    <xf numFmtId="14" fontId="16" fillId="42" borderId="0" xfId="0" applyNumberFormat="1" applyFont="1" applyFill="1" applyAlignment="1">
      <alignment horizontal="left"/>
    </xf>
    <xf numFmtId="14" fontId="13" fillId="42" borderId="0" xfId="0" applyNumberFormat="1" applyFont="1" applyFill="1" applyAlignment="1">
      <alignment horizontal="center"/>
    </xf>
    <xf numFmtId="14" fontId="13" fillId="43" borderId="0" xfId="0" applyNumberFormat="1" applyFont="1" applyFill="1"/>
    <xf numFmtId="165" fontId="16" fillId="42" borderId="0" xfId="45" applyNumberFormat="1" applyFont="1" applyFill="1" applyAlignment="1">
      <alignment horizontal="left"/>
    </xf>
    <xf numFmtId="172" fontId="0" fillId="42" borderId="0" xfId="45" applyNumberFormat="1" applyFont="1" applyFill="1"/>
    <xf numFmtId="172" fontId="16" fillId="42" borderId="0" xfId="45" applyNumberFormat="1" applyFont="1" applyFill="1"/>
    <xf numFmtId="43" fontId="16" fillId="35" borderId="0" xfId="45" applyFont="1" applyFill="1" applyAlignment="1">
      <alignment horizontal="center"/>
    </xf>
    <xf numFmtId="3" fontId="0" fillId="0" borderId="0" xfId="0" applyNumberFormat="1" applyBorder="1"/>
    <xf numFmtId="167" fontId="0" fillId="0" borderId="0" xfId="0" applyNumberFormat="1" applyBorder="1"/>
    <xf numFmtId="0" fontId="0" fillId="0" borderId="0" xfId="0" applyFill="1" applyBorder="1"/>
    <xf numFmtId="0" fontId="16" fillId="0" borderId="0" xfId="0" applyFont="1" applyFill="1" applyBorder="1"/>
    <xf numFmtId="14" fontId="0" fillId="0" borderId="0" xfId="0" applyNumberFormat="1" applyFill="1" applyBorder="1"/>
    <xf numFmtId="167" fontId="0" fillId="0" borderId="0" xfId="45" applyNumberFormat="1" applyFont="1" applyFill="1" applyBorder="1" applyAlignment="1">
      <alignment horizontal="right"/>
    </xf>
    <xf numFmtId="3" fontId="0" fillId="0" borderId="0" xfId="0" applyNumberFormat="1" applyFill="1" applyBorder="1"/>
    <xf numFmtId="167" fontId="0" fillId="0" borderId="0" xfId="0" applyNumberFormat="1" applyFill="1" applyBorder="1"/>
    <xf numFmtId="9" fontId="13" fillId="44" borderId="0" xfId="0" applyNumberFormat="1" applyFont="1" applyFill="1" applyAlignment="1">
      <alignment horizontal="center"/>
    </xf>
    <xf numFmtId="9" fontId="17" fillId="34" borderId="0" xfId="0" applyNumberFormat="1" applyFont="1" applyFill="1" applyAlignment="1">
      <alignment horizontal="center"/>
    </xf>
    <xf numFmtId="172" fontId="16" fillId="35" borderId="0" xfId="45" applyNumberFormat="1" applyFont="1" applyFill="1" applyAlignment="1">
      <alignment horizontal="center"/>
    </xf>
    <xf numFmtId="3" fontId="0" fillId="0" borderId="23" xfId="0" applyNumberFormat="1" applyBorder="1" applyAlignment="1">
      <alignment horizontal="right"/>
    </xf>
    <xf numFmtId="9" fontId="13" fillId="34" borderId="24" xfId="44" applyFont="1" applyFill="1" applyBorder="1" applyAlignment="1">
      <alignment horizontal="center"/>
    </xf>
    <xf numFmtId="9" fontId="13" fillId="34" borderId="25" xfId="44" applyFont="1" applyFill="1" applyBorder="1" applyAlignment="1">
      <alignment horizontal="center"/>
    </xf>
    <xf numFmtId="9" fontId="13" fillId="34" borderId="26" xfId="44" applyFont="1" applyFill="1" applyBorder="1" applyAlignment="1">
      <alignment horizontal="center"/>
    </xf>
    <xf numFmtId="9" fontId="13" fillId="34" borderId="28" xfId="44" applyFont="1" applyFill="1" applyBorder="1" applyAlignment="1">
      <alignment horizontal="center"/>
    </xf>
    <xf numFmtId="10" fontId="0" fillId="0" borderId="21" xfId="44" applyNumberFormat="1" applyFont="1" applyBorder="1" applyAlignment="1">
      <alignment horizontal="right"/>
    </xf>
    <xf numFmtId="10" fontId="0" fillId="0" borderId="27" xfId="44" applyNumberFormat="1" applyFont="1" applyBorder="1" applyAlignment="1">
      <alignment horizontal="right"/>
    </xf>
    <xf numFmtId="10" fontId="0" fillId="0" borderId="29" xfId="44" applyNumberFormat="1" applyFont="1" applyBorder="1" applyAlignment="1">
      <alignment horizontal="right"/>
    </xf>
    <xf numFmtId="10" fontId="0" fillId="0" borderId="30" xfId="44" applyNumberFormat="1" applyFont="1" applyBorder="1" applyAlignment="1">
      <alignment horizontal="right"/>
    </xf>
    <xf numFmtId="0" fontId="0" fillId="0" borderId="0" xfId="0" applyAlignment="1">
      <alignment horizontal="left" vertical="center"/>
    </xf>
    <xf numFmtId="0" fontId="0" fillId="0" borderId="0" xfId="0" applyAlignment="1">
      <alignment horizontal="left"/>
    </xf>
    <xf numFmtId="0" fontId="16" fillId="0" borderId="0" xfId="0" applyFont="1" applyAlignment="1">
      <alignment horizontal="center"/>
    </xf>
    <xf numFmtId="0" fontId="16" fillId="38" borderId="0" xfId="0" applyFont="1" applyFill="1" applyAlignment="1">
      <alignment horizontal="left"/>
    </xf>
    <xf numFmtId="0" fontId="13" fillId="34" borderId="11" xfId="0" applyFont="1" applyFill="1" applyBorder="1" applyAlignment="1">
      <alignment horizontal="center"/>
    </xf>
    <xf numFmtId="0" fontId="13" fillId="36" borderId="11" xfId="0" applyFont="1" applyFill="1" applyBorder="1" applyAlignment="1">
      <alignment horizontal="center"/>
    </xf>
    <xf numFmtId="0" fontId="13" fillId="36" borderId="10" xfId="0" applyFont="1" applyFill="1" applyBorder="1" applyAlignment="1">
      <alignment horizontal="center"/>
    </xf>
    <xf numFmtId="0" fontId="16" fillId="33" borderId="16" xfId="0" applyFont="1" applyFill="1" applyBorder="1" applyAlignment="1">
      <alignment horizontal="left"/>
    </xf>
    <xf numFmtId="0" fontId="16" fillId="33" borderId="0" xfId="0" applyFont="1" applyFill="1" applyBorder="1" applyAlignment="1">
      <alignment horizontal="left"/>
    </xf>
    <xf numFmtId="0" fontId="16" fillId="33" borderId="17" xfId="0" applyFont="1" applyFill="1" applyBorder="1" applyAlignment="1">
      <alignment horizontal="left"/>
    </xf>
    <xf numFmtId="9" fontId="0" fillId="0" borderId="21" xfId="44" applyFont="1" applyFill="1" applyBorder="1" applyAlignment="1">
      <alignment horizont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Alignment="1">
      <alignment horizontal="left"/>
    </xf>
    <xf numFmtId="0" fontId="0" fillId="0" borderId="0" xfId="0" applyFont="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7FF4B60B-E23B-4F7F-B66C-B010E06E39F8}"/>
    <cellStyle name="Note" xfId="15" builtinId="10" customBuiltin="1"/>
    <cellStyle name="Output" xfId="10" builtinId="21" customBuiltin="1"/>
    <cellStyle name="Percent" xfId="44" builtinId="5"/>
    <cellStyle name="Percent 2" xfId="43" xr:uid="{5BFD0F34-7A59-45C9-AAAF-761C1D3B87B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152B0-66D7-47C7-BB68-A0A09B592AD7}">
  <sheetPr>
    <tabColor theme="4" tint="0.59999389629810485"/>
  </sheetPr>
  <dimension ref="A2:M32"/>
  <sheetViews>
    <sheetView showGridLines="0" topLeftCell="A28" zoomScale="110" zoomScaleNormal="110" workbookViewId="0">
      <selection activeCell="K27" sqref="K27"/>
    </sheetView>
  </sheetViews>
  <sheetFormatPr defaultColWidth="8.7109375" defaultRowHeight="15"/>
  <cols>
    <col min="1" max="1" width="8.7109375" style="2"/>
    <col min="2" max="2" width="14.7109375" style="1" bestFit="1" customWidth="1"/>
    <col min="3" max="3" width="12" style="1" customWidth="1"/>
    <col min="4" max="4" width="8.7109375" style="1"/>
    <col min="5" max="5" width="15" style="1" customWidth="1"/>
    <col min="6" max="16384" width="8.7109375" style="1"/>
  </cols>
  <sheetData>
    <row r="2" spans="1:13">
      <c r="A2" s="2" t="s">
        <v>43</v>
      </c>
      <c r="B2" s="4" t="s">
        <v>98</v>
      </c>
      <c r="C2" s="1" t="s">
        <v>44</v>
      </c>
    </row>
    <row r="3" spans="1:13">
      <c r="A3" s="123"/>
      <c r="B3" s="4"/>
      <c r="C3" s="1" t="s">
        <v>99</v>
      </c>
    </row>
    <row r="5" spans="1:13">
      <c r="A5" s="2" t="s">
        <v>4</v>
      </c>
      <c r="B5" s="4" t="s">
        <v>94</v>
      </c>
    </row>
    <row r="6" spans="1:13">
      <c r="B6" s="3" t="s">
        <v>97</v>
      </c>
      <c r="C6" s="1" t="s">
        <v>45</v>
      </c>
      <c r="E6" s="193" t="s">
        <v>96</v>
      </c>
      <c r="F6" s="193"/>
      <c r="G6" s="193"/>
      <c r="H6" s="193"/>
      <c r="I6" s="193"/>
      <c r="J6" s="193"/>
      <c r="K6" s="193"/>
      <c r="L6" s="193"/>
      <c r="M6" s="193"/>
    </row>
    <row r="7" spans="1:13">
      <c r="A7" s="123"/>
      <c r="B7" s="3"/>
      <c r="C7" s="1" t="s">
        <v>108</v>
      </c>
      <c r="E7" s="193" t="s">
        <v>109</v>
      </c>
      <c r="F7" s="193"/>
      <c r="G7" s="193"/>
      <c r="H7" s="193"/>
      <c r="I7" s="193"/>
      <c r="J7" s="193"/>
      <c r="K7" s="193"/>
      <c r="L7" s="193"/>
      <c r="M7" s="193"/>
    </row>
    <row r="8" spans="1:13">
      <c r="B8" s="3" t="s">
        <v>8</v>
      </c>
      <c r="C8" s="1" t="s">
        <v>107</v>
      </c>
      <c r="H8" s="3"/>
    </row>
    <row r="9" spans="1:13">
      <c r="B9" s="3" t="s">
        <v>9</v>
      </c>
      <c r="C9" s="1" t="s">
        <v>102</v>
      </c>
      <c r="H9" s="3"/>
    </row>
    <row r="10" spans="1:13">
      <c r="B10" s="3" t="s">
        <v>8</v>
      </c>
      <c r="C10" s="1" t="s">
        <v>103</v>
      </c>
      <c r="H10" s="3"/>
    </row>
    <row r="11" spans="1:13">
      <c r="B11" s="3" t="s">
        <v>8</v>
      </c>
      <c r="C11" s="1" t="s">
        <v>104</v>
      </c>
      <c r="H11" s="3"/>
    </row>
    <row r="12" spans="1:13">
      <c r="B12" s="3" t="s">
        <v>8</v>
      </c>
      <c r="C12" s="1" t="s">
        <v>105</v>
      </c>
      <c r="H12" s="3"/>
    </row>
    <row r="13" spans="1:13">
      <c r="D13" s="3" t="s">
        <v>46</v>
      </c>
    </row>
    <row r="14" spans="1:13">
      <c r="A14" s="123"/>
      <c r="D14" s="3" t="s">
        <v>106</v>
      </c>
    </row>
    <row r="16" spans="1:13">
      <c r="A16" s="2" t="s">
        <v>5</v>
      </c>
      <c r="B16" s="4" t="s">
        <v>33</v>
      </c>
    </row>
    <row r="18" spans="1:3">
      <c r="A18" s="104" t="s">
        <v>6</v>
      </c>
      <c r="B18" s="4" t="s">
        <v>33</v>
      </c>
    </row>
    <row r="19" spans="1:3">
      <c r="A19" s="104"/>
      <c r="B19" s="3" t="s">
        <v>93</v>
      </c>
      <c r="C19" s="1" t="s">
        <v>126</v>
      </c>
    </row>
    <row r="20" spans="1:3">
      <c r="A20" s="123"/>
      <c r="B20" s="3"/>
      <c r="C20" s="1" t="s">
        <v>110</v>
      </c>
    </row>
    <row r="21" spans="1:3">
      <c r="A21" s="104"/>
      <c r="B21" s="3" t="s">
        <v>35</v>
      </c>
      <c r="C21" s="1" t="s">
        <v>101</v>
      </c>
    </row>
    <row r="23" spans="1:3">
      <c r="A23" s="2" t="s">
        <v>7</v>
      </c>
      <c r="B23" s="4" t="s">
        <v>3</v>
      </c>
    </row>
    <row r="24" spans="1:3">
      <c r="B24" s="3" t="s">
        <v>34</v>
      </c>
      <c r="C24" s="1" t="s">
        <v>100</v>
      </c>
    </row>
    <row r="25" spans="1:3">
      <c r="B25" s="3" t="s">
        <v>35</v>
      </c>
      <c r="C25" s="1" t="s">
        <v>92</v>
      </c>
    </row>
    <row r="26" spans="1:3">
      <c r="B26" s="3" t="s">
        <v>35</v>
      </c>
      <c r="C26" s="1" t="s">
        <v>101</v>
      </c>
    </row>
    <row r="27" spans="1:3">
      <c r="B27" s="2"/>
    </row>
    <row r="29" spans="1:3">
      <c r="A29" s="2" t="s">
        <v>36</v>
      </c>
      <c r="B29" s="4" t="s">
        <v>37</v>
      </c>
    </row>
    <row r="30" spans="1:3">
      <c r="B30" s="3" t="s">
        <v>9</v>
      </c>
      <c r="C30" s="1" t="s">
        <v>111</v>
      </c>
    </row>
    <row r="31" spans="1:3">
      <c r="B31" s="3" t="s">
        <v>35</v>
      </c>
      <c r="C31" s="1" t="s">
        <v>101</v>
      </c>
    </row>
    <row r="32" spans="1:3">
      <c r="B32" s="3" t="s">
        <v>95</v>
      </c>
      <c r="C32" s="1" t="s">
        <v>66</v>
      </c>
    </row>
  </sheetData>
  <mergeCells count="2">
    <mergeCell ref="E6:M6"/>
    <mergeCell ref="E7:M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1F181-403D-4178-9CAE-360E12AF2ADE}">
  <sheetPr>
    <tabColor theme="4" tint="0.59999389629810485"/>
    <pageSetUpPr fitToPage="1"/>
  </sheetPr>
  <dimension ref="A2:BA150"/>
  <sheetViews>
    <sheetView showGridLines="0" tabSelected="1" topLeftCell="A100" zoomScale="80" zoomScaleNormal="80" workbookViewId="0">
      <selection activeCell="F89" sqref="F89"/>
    </sheetView>
  </sheetViews>
  <sheetFormatPr defaultRowHeight="15"/>
  <cols>
    <col min="2" max="2" width="28.85546875" customWidth="1"/>
    <col min="3" max="3" width="18.7109375" style="6" customWidth="1"/>
    <col min="4" max="4" width="18.5703125" style="6" customWidth="1"/>
    <col min="5" max="5" width="22.42578125" style="6" customWidth="1"/>
    <col min="6" max="6" width="18.42578125" style="6" bestFit="1" customWidth="1"/>
    <col min="7" max="7" width="17.42578125" style="6" customWidth="1"/>
    <col min="8" max="8" width="17.7109375" style="6" bestFit="1" customWidth="1"/>
    <col min="9" max="9" width="16.28515625" style="6" bestFit="1" customWidth="1"/>
    <col min="10" max="10" width="20.42578125" style="6" bestFit="1" customWidth="1"/>
    <col min="11" max="11" width="16.42578125" style="6" bestFit="1" customWidth="1"/>
    <col min="12" max="16" width="15" style="6" customWidth="1"/>
    <col min="17" max="18" width="16.5703125" bestFit="1" customWidth="1"/>
    <col min="19" max="24" width="16.42578125" bestFit="1" customWidth="1"/>
    <col min="25" max="25" width="3.7109375" style="1" customWidth="1"/>
    <col min="26" max="26" width="14.28515625" style="1" customWidth="1"/>
    <col min="27" max="27" width="18.42578125" style="1" customWidth="1"/>
    <col min="28" max="28" width="17.28515625" bestFit="1" customWidth="1"/>
    <col min="29" max="29" width="7.5703125" style="1" customWidth="1"/>
    <col min="31" max="31" width="11.28515625" bestFit="1" customWidth="1"/>
    <col min="32" max="32" width="16" customWidth="1"/>
    <col min="33" max="33" width="13.28515625" customWidth="1"/>
    <col min="34" max="43" width="12.42578125" bestFit="1" customWidth="1"/>
    <col min="44" max="52" width="14.28515625" bestFit="1" customWidth="1"/>
    <col min="53" max="53" width="15.28515625" bestFit="1" customWidth="1"/>
  </cols>
  <sheetData>
    <row r="2" spans="2:20">
      <c r="B2" s="16"/>
      <c r="C2" s="58">
        <v>44197</v>
      </c>
      <c r="D2" s="58">
        <f>+C2+364</f>
        <v>44561</v>
      </c>
      <c r="E2" s="58">
        <f>D2+365</f>
        <v>44926</v>
      </c>
      <c r="F2" s="58">
        <f t="shared" ref="F2:J2" si="0">E2+365</f>
        <v>45291</v>
      </c>
      <c r="G2" s="58">
        <f>F2+366</f>
        <v>45657</v>
      </c>
      <c r="H2" s="58">
        <f t="shared" si="0"/>
        <v>46022</v>
      </c>
      <c r="I2" s="58">
        <f t="shared" si="0"/>
        <v>46387</v>
      </c>
      <c r="J2" s="58">
        <f t="shared" si="0"/>
        <v>46752</v>
      </c>
      <c r="K2" s="63">
        <f>J2+366</f>
        <v>47118</v>
      </c>
      <c r="Q2" s="6"/>
      <c r="R2" s="6"/>
      <c r="S2" s="6"/>
      <c r="T2" s="6"/>
    </row>
    <row r="3" spans="2:20" s="1" customFormat="1">
      <c r="B3" s="199" t="s">
        <v>57</v>
      </c>
      <c r="C3" s="200"/>
      <c r="D3" s="200"/>
      <c r="E3" s="200"/>
      <c r="F3" s="200"/>
      <c r="G3" s="200"/>
      <c r="H3" s="200"/>
      <c r="I3" s="200"/>
      <c r="J3" s="200"/>
      <c r="K3" s="201"/>
      <c r="L3" s="6"/>
      <c r="M3" s="6"/>
      <c r="N3" s="6"/>
      <c r="O3" s="6"/>
      <c r="P3" s="6"/>
    </row>
    <row r="4" spans="2:20" s="1" customFormat="1">
      <c r="B4" s="59" t="s">
        <v>47</v>
      </c>
      <c r="C4" s="19" t="s">
        <v>14</v>
      </c>
      <c r="D4" s="19" t="s">
        <v>14</v>
      </c>
      <c r="E4" s="19"/>
      <c r="F4" s="19"/>
      <c r="G4" s="19"/>
      <c r="H4" s="19"/>
      <c r="I4" s="19"/>
      <c r="J4" s="19"/>
      <c r="K4" s="20"/>
      <c r="L4" s="6"/>
      <c r="M4" s="6"/>
      <c r="N4" s="7"/>
      <c r="O4" s="6"/>
      <c r="P4" s="6"/>
    </row>
    <row r="5" spans="2:20" s="1" customFormat="1">
      <c r="B5" s="60" t="s">
        <v>49</v>
      </c>
      <c r="C5" s="19"/>
      <c r="D5" s="19"/>
      <c r="E5" s="157">
        <v>100000</v>
      </c>
      <c r="F5" s="157">
        <v>125000</v>
      </c>
      <c r="G5" s="157">
        <v>150000</v>
      </c>
      <c r="H5" s="157">
        <v>150000</v>
      </c>
      <c r="I5" s="157">
        <v>150000</v>
      </c>
      <c r="J5" s="157">
        <v>150000</v>
      </c>
      <c r="K5" s="158">
        <v>150000</v>
      </c>
      <c r="L5" s="6"/>
      <c r="M5" s="6"/>
      <c r="N5" s="7"/>
      <c r="O5" s="6"/>
      <c r="P5" s="6"/>
    </row>
    <row r="6" spans="2:20" s="1" customFormat="1">
      <c r="B6" s="60" t="s">
        <v>50</v>
      </c>
      <c r="C6" s="19"/>
      <c r="D6" s="19"/>
      <c r="E6" s="157">
        <v>150000</v>
      </c>
      <c r="F6" s="157">
        <v>300000</v>
      </c>
      <c r="G6" s="157">
        <v>350000</v>
      </c>
      <c r="H6" s="157">
        <v>350000</v>
      </c>
      <c r="I6" s="157">
        <v>350000</v>
      </c>
      <c r="J6" s="157">
        <v>350000</v>
      </c>
      <c r="K6" s="158">
        <v>350000</v>
      </c>
      <c r="L6" s="6"/>
      <c r="M6" s="6"/>
      <c r="N6" s="7"/>
      <c r="O6" s="6"/>
      <c r="P6" s="6"/>
    </row>
    <row r="7" spans="2:20" s="1" customFormat="1">
      <c r="B7" s="60" t="s">
        <v>51</v>
      </c>
      <c r="C7" s="19"/>
      <c r="D7" s="19"/>
      <c r="E7" s="157">
        <v>50000</v>
      </c>
      <c r="F7" s="157">
        <v>75000</v>
      </c>
      <c r="G7" s="157">
        <v>100000</v>
      </c>
      <c r="H7" s="157">
        <v>100000</v>
      </c>
      <c r="I7" s="157">
        <v>100000</v>
      </c>
      <c r="J7" s="157">
        <v>100000</v>
      </c>
      <c r="K7" s="158">
        <v>100000</v>
      </c>
      <c r="L7" s="6"/>
      <c r="M7" s="6"/>
      <c r="N7" s="7"/>
      <c r="O7" s="6"/>
      <c r="P7" s="6"/>
    </row>
    <row r="8" spans="2:20" s="1" customFormat="1">
      <c r="B8" s="59" t="s">
        <v>48</v>
      </c>
      <c r="C8" s="19" t="s">
        <v>14</v>
      </c>
      <c r="D8" s="19" t="s">
        <v>14</v>
      </c>
      <c r="E8" s="157" t="s">
        <v>14</v>
      </c>
      <c r="F8" s="157"/>
      <c r="G8" s="157"/>
      <c r="H8" s="157"/>
      <c r="I8" s="157"/>
      <c r="J8" s="157"/>
      <c r="K8" s="158"/>
      <c r="L8" s="6"/>
      <c r="M8" s="6"/>
      <c r="N8" s="7"/>
      <c r="O8" s="6"/>
      <c r="P8" s="6"/>
    </row>
    <row r="9" spans="2:20" s="1" customFormat="1">
      <c r="B9" s="60" t="s">
        <v>50</v>
      </c>
      <c r="C9" s="19"/>
      <c r="D9" s="19"/>
      <c r="E9" s="157"/>
      <c r="F9" s="157">
        <v>60000</v>
      </c>
      <c r="G9" s="157">
        <v>100000</v>
      </c>
      <c r="H9" s="157">
        <v>100000</v>
      </c>
      <c r="I9" s="157">
        <v>100000</v>
      </c>
      <c r="J9" s="157">
        <v>100000</v>
      </c>
      <c r="K9" s="158">
        <v>100000</v>
      </c>
      <c r="L9" s="6"/>
      <c r="M9" s="6"/>
      <c r="N9" s="7"/>
      <c r="O9" s="6"/>
      <c r="P9" s="6"/>
    </row>
    <row r="10" spans="2:20" s="1" customFormat="1">
      <c r="B10" s="60" t="s">
        <v>51</v>
      </c>
      <c r="C10" s="19"/>
      <c r="D10" s="19"/>
      <c r="E10" s="157"/>
      <c r="F10" s="157">
        <v>150000</v>
      </c>
      <c r="G10" s="157">
        <v>200000</v>
      </c>
      <c r="H10" s="157">
        <v>220000</v>
      </c>
      <c r="I10" s="157">
        <v>220000</v>
      </c>
      <c r="J10" s="157">
        <v>220000</v>
      </c>
      <c r="K10" s="158">
        <v>220000</v>
      </c>
      <c r="L10" s="6"/>
      <c r="M10" s="6"/>
      <c r="N10" s="7"/>
      <c r="O10" s="6"/>
      <c r="P10" s="6"/>
    </row>
    <row r="11" spans="2:20" s="1" customFormat="1">
      <c r="B11" s="60" t="s">
        <v>53</v>
      </c>
      <c r="C11" s="19"/>
      <c r="D11" s="19"/>
      <c r="E11" s="157"/>
      <c r="F11" s="157">
        <v>150000</v>
      </c>
      <c r="G11" s="157">
        <v>260000</v>
      </c>
      <c r="H11" s="157">
        <v>280000</v>
      </c>
      <c r="I11" s="157">
        <v>280000</v>
      </c>
      <c r="J11" s="157">
        <v>280000</v>
      </c>
      <c r="K11" s="158">
        <v>280000</v>
      </c>
      <c r="L11" s="6"/>
      <c r="M11" s="6"/>
      <c r="N11" s="6"/>
      <c r="O11" s="6"/>
      <c r="P11" s="6"/>
    </row>
    <row r="12" spans="2:20" s="1" customFormat="1">
      <c r="B12" s="199" t="s">
        <v>56</v>
      </c>
      <c r="C12" s="200"/>
      <c r="D12" s="200"/>
      <c r="E12" s="200"/>
      <c r="F12" s="200"/>
      <c r="G12" s="200"/>
      <c r="H12" s="200"/>
      <c r="I12" s="200"/>
      <c r="J12" s="200"/>
      <c r="K12" s="201"/>
      <c r="L12" s="8"/>
      <c r="M12" s="6"/>
      <c r="N12" s="6"/>
      <c r="O12" s="6"/>
      <c r="P12" s="6"/>
    </row>
    <row r="13" spans="2:20" s="1" customFormat="1">
      <c r="B13" s="59" t="s">
        <v>47</v>
      </c>
      <c r="C13" s="67">
        <v>3000000000</v>
      </c>
      <c r="D13" s="67">
        <v>4000000000</v>
      </c>
      <c r="E13" s="67">
        <v>3500000000</v>
      </c>
      <c r="F13" s="67">
        <v>300000000</v>
      </c>
      <c r="G13" s="67">
        <v>300000000</v>
      </c>
      <c r="H13" s="67">
        <v>300000000</v>
      </c>
      <c r="I13" s="67">
        <v>300000000</v>
      </c>
      <c r="J13" s="67">
        <v>300000000</v>
      </c>
      <c r="K13" s="68">
        <v>300000000</v>
      </c>
      <c r="L13" s="8"/>
      <c r="M13" s="9"/>
      <c r="N13" s="6"/>
      <c r="O13" s="6"/>
      <c r="P13" s="6"/>
    </row>
    <row r="14" spans="2:20" s="1" customFormat="1">
      <c r="B14" s="59" t="s">
        <v>48</v>
      </c>
      <c r="C14" s="67">
        <v>7000000000</v>
      </c>
      <c r="D14" s="67">
        <v>5000000000</v>
      </c>
      <c r="E14" s="67">
        <v>6000000000</v>
      </c>
      <c r="F14" s="67">
        <v>200000000</v>
      </c>
      <c r="G14" s="67">
        <v>200000000</v>
      </c>
      <c r="H14" s="67">
        <v>200000000</v>
      </c>
      <c r="I14" s="67">
        <v>200000000</v>
      </c>
      <c r="J14" s="67">
        <v>200000000</v>
      </c>
      <c r="K14" s="68">
        <v>200000000</v>
      </c>
      <c r="L14" s="8"/>
      <c r="M14" s="9"/>
      <c r="N14" s="6"/>
      <c r="O14" s="6"/>
      <c r="P14" s="6"/>
    </row>
    <row r="15" spans="2:20" s="1" customFormat="1">
      <c r="B15" s="21"/>
      <c r="C15" s="22"/>
      <c r="D15" s="22"/>
      <c r="E15" s="22"/>
      <c r="F15" s="22"/>
      <c r="G15" s="22"/>
      <c r="H15" s="22"/>
      <c r="I15" s="22"/>
      <c r="J15" s="22"/>
      <c r="K15" s="23"/>
      <c r="L15" s="8"/>
      <c r="M15" s="6"/>
      <c r="N15" s="6"/>
      <c r="O15" s="6"/>
      <c r="P15" s="6"/>
    </row>
    <row r="16" spans="2:20" s="1" customFormat="1">
      <c r="B16" s="17" t="s">
        <v>18</v>
      </c>
      <c r="C16" s="24"/>
      <c r="D16" s="24"/>
      <c r="E16" s="24">
        <v>0.4</v>
      </c>
      <c r="F16" s="24">
        <v>0.35</v>
      </c>
      <c r="G16" s="24">
        <v>0.25</v>
      </c>
      <c r="H16" s="24">
        <v>0.2</v>
      </c>
      <c r="I16" s="24">
        <v>0.15</v>
      </c>
      <c r="J16" s="24">
        <v>0.15</v>
      </c>
      <c r="K16" s="25">
        <v>0.15</v>
      </c>
      <c r="L16" s="8"/>
      <c r="M16" s="6"/>
      <c r="N16" s="6"/>
      <c r="O16" s="6"/>
      <c r="P16" s="6"/>
    </row>
    <row r="17" spans="2:20" s="1" customFormat="1">
      <c r="B17" s="21"/>
      <c r="C17" s="22"/>
      <c r="D17" s="22"/>
      <c r="E17" s="22"/>
      <c r="F17" s="22"/>
      <c r="G17" s="22"/>
      <c r="H17" s="22"/>
      <c r="I17" s="22"/>
      <c r="J17" s="22"/>
      <c r="K17" s="23"/>
      <c r="L17" s="8"/>
      <c r="M17" s="9"/>
      <c r="N17" s="6"/>
      <c r="O17" s="6"/>
      <c r="P17" s="6"/>
    </row>
    <row r="18" spans="2:20" s="1" customFormat="1">
      <c r="B18" s="199" t="s">
        <v>52</v>
      </c>
      <c r="C18" s="200"/>
      <c r="D18" s="200"/>
      <c r="E18" s="200"/>
      <c r="F18" s="200"/>
      <c r="G18" s="200"/>
      <c r="H18" s="200"/>
      <c r="I18" s="200"/>
      <c r="J18" s="200"/>
      <c r="K18" s="201"/>
      <c r="L18" s="6"/>
      <c r="M18" s="6"/>
      <c r="N18" s="2"/>
      <c r="O18" s="2"/>
      <c r="P18" s="2"/>
      <c r="Q18" s="2"/>
      <c r="S18" s="2"/>
      <c r="T18" s="2"/>
    </row>
    <row r="19" spans="2:20">
      <c r="B19" s="61" t="s">
        <v>49</v>
      </c>
      <c r="C19" s="43"/>
      <c r="D19" s="43"/>
      <c r="E19" s="155">
        <v>15000</v>
      </c>
      <c r="F19" s="155">
        <f>$E$19</f>
        <v>15000</v>
      </c>
      <c r="G19" s="155">
        <f t="shared" ref="G19:K19" si="1">$E$19</f>
        <v>15000</v>
      </c>
      <c r="H19" s="155">
        <f t="shared" si="1"/>
        <v>15000</v>
      </c>
      <c r="I19" s="155">
        <f t="shared" si="1"/>
        <v>15000</v>
      </c>
      <c r="J19" s="155">
        <f t="shared" si="1"/>
        <v>15000</v>
      </c>
      <c r="K19" s="156">
        <f t="shared" si="1"/>
        <v>15000</v>
      </c>
      <c r="L19"/>
      <c r="M19"/>
      <c r="N19"/>
      <c r="O19"/>
      <c r="P19"/>
    </row>
    <row r="20" spans="2:20">
      <c r="B20" s="61" t="s">
        <v>50</v>
      </c>
      <c r="C20" s="43"/>
      <c r="D20" s="43"/>
      <c r="E20" s="155">
        <v>40000</v>
      </c>
      <c r="F20" s="155">
        <f>$E$20</f>
        <v>40000</v>
      </c>
      <c r="G20" s="155">
        <f t="shared" ref="G20:K20" si="2">$E$20</f>
        <v>40000</v>
      </c>
      <c r="H20" s="155">
        <f t="shared" si="2"/>
        <v>40000</v>
      </c>
      <c r="I20" s="155">
        <f t="shared" si="2"/>
        <v>40000</v>
      </c>
      <c r="J20" s="155">
        <f t="shared" si="2"/>
        <v>40000</v>
      </c>
      <c r="K20" s="156">
        <f t="shared" si="2"/>
        <v>40000</v>
      </c>
      <c r="L20"/>
      <c r="M20"/>
      <c r="N20"/>
      <c r="O20"/>
      <c r="P20"/>
    </row>
    <row r="21" spans="2:20">
      <c r="B21" s="61" t="s">
        <v>51</v>
      </c>
      <c r="C21" s="43"/>
      <c r="D21" s="43"/>
      <c r="E21" s="155">
        <v>30000</v>
      </c>
      <c r="F21" s="155">
        <f>$E$21</f>
        <v>30000</v>
      </c>
      <c r="G21" s="155">
        <f t="shared" ref="G21:K21" si="3">$E$21</f>
        <v>30000</v>
      </c>
      <c r="H21" s="155">
        <f t="shared" si="3"/>
        <v>30000</v>
      </c>
      <c r="I21" s="155">
        <f t="shared" si="3"/>
        <v>30000</v>
      </c>
      <c r="J21" s="155">
        <f t="shared" si="3"/>
        <v>30000</v>
      </c>
      <c r="K21" s="156">
        <f t="shared" si="3"/>
        <v>30000</v>
      </c>
      <c r="L21"/>
      <c r="M21"/>
      <c r="N21"/>
      <c r="O21"/>
      <c r="P21"/>
    </row>
    <row r="22" spans="2:20">
      <c r="B22" s="62" t="s">
        <v>53</v>
      </c>
      <c r="C22" s="43"/>
      <c r="D22" s="43"/>
      <c r="E22" s="155">
        <v>100000</v>
      </c>
      <c r="F22" s="155">
        <f>$E$22</f>
        <v>100000</v>
      </c>
      <c r="G22" s="155">
        <f t="shared" ref="G22:K22" si="4">$E$22</f>
        <v>100000</v>
      </c>
      <c r="H22" s="155">
        <f t="shared" si="4"/>
        <v>100000</v>
      </c>
      <c r="I22" s="155">
        <f t="shared" si="4"/>
        <v>100000</v>
      </c>
      <c r="J22" s="155">
        <f t="shared" si="4"/>
        <v>100000</v>
      </c>
      <c r="K22" s="156">
        <f t="shared" si="4"/>
        <v>100000</v>
      </c>
      <c r="L22"/>
      <c r="M22"/>
      <c r="N22"/>
      <c r="O22"/>
      <c r="P22"/>
    </row>
    <row r="23" spans="2:20" s="1" customFormat="1">
      <c r="B23" s="199" t="s">
        <v>31</v>
      </c>
      <c r="C23" s="200"/>
      <c r="D23" s="200"/>
      <c r="E23" s="200"/>
      <c r="F23" s="200"/>
      <c r="G23" s="200"/>
      <c r="H23" s="200"/>
      <c r="I23" s="200"/>
      <c r="J23" s="200"/>
      <c r="K23" s="201"/>
      <c r="L23" s="10"/>
      <c r="M23" s="10"/>
    </row>
    <row r="24" spans="2:20">
      <c r="B24" s="59" t="s">
        <v>47</v>
      </c>
      <c r="C24" s="26"/>
      <c r="D24" s="26"/>
      <c r="E24" s="26"/>
      <c r="F24" s="26"/>
      <c r="G24" s="26"/>
      <c r="H24" s="26"/>
      <c r="I24" s="26"/>
      <c r="J24" s="26"/>
      <c r="K24" s="27"/>
      <c r="L24" s="10"/>
      <c r="M24" s="10"/>
    </row>
    <row r="25" spans="2:20" s="1" customFormat="1">
      <c r="B25" s="60" t="s">
        <v>49</v>
      </c>
      <c r="C25" s="26"/>
      <c r="D25" s="26"/>
      <c r="E25" s="26">
        <v>0.35</v>
      </c>
      <c r="F25" s="26">
        <v>0.34799999999999998</v>
      </c>
      <c r="G25" s="26">
        <v>0.34200000000000003</v>
      </c>
      <c r="H25" s="26">
        <v>0.33500000000000002</v>
      </c>
      <c r="I25" s="26">
        <v>0.33</v>
      </c>
      <c r="J25" s="26">
        <v>0.33</v>
      </c>
      <c r="K25" s="27">
        <v>0.33</v>
      </c>
      <c r="L25" s="10"/>
      <c r="M25" s="10"/>
      <c r="N25" s="6"/>
      <c r="O25" s="6"/>
      <c r="P25" s="6"/>
    </row>
    <row r="26" spans="2:20" s="1" customFormat="1">
      <c r="B26" s="60" t="s">
        <v>50</v>
      </c>
      <c r="C26" s="26"/>
      <c r="D26" s="26"/>
      <c r="E26" s="26">
        <v>0.4</v>
      </c>
      <c r="F26" s="26">
        <v>0.41</v>
      </c>
      <c r="G26" s="26">
        <v>0.41499999999999998</v>
      </c>
      <c r="H26" s="26">
        <v>0.42</v>
      </c>
      <c r="I26" s="26">
        <v>0.42</v>
      </c>
      <c r="J26" s="26">
        <v>0.42</v>
      </c>
      <c r="K26" s="27">
        <v>0.42</v>
      </c>
      <c r="L26" s="10"/>
      <c r="M26" s="10"/>
      <c r="N26" s="6"/>
      <c r="O26" s="6"/>
      <c r="P26" s="6"/>
    </row>
    <row r="27" spans="2:20" s="1" customFormat="1">
      <c r="B27" s="60" t="s">
        <v>51</v>
      </c>
      <c r="C27" s="26"/>
      <c r="D27" s="26"/>
      <c r="E27" s="26">
        <v>0.48</v>
      </c>
      <c r="F27" s="26">
        <v>0.49</v>
      </c>
      <c r="G27" s="26">
        <v>0.5</v>
      </c>
      <c r="H27" s="26">
        <v>0.5</v>
      </c>
      <c r="I27" s="26">
        <v>0.5</v>
      </c>
      <c r="J27" s="26">
        <v>0.5</v>
      </c>
      <c r="K27" s="27">
        <v>0.5</v>
      </c>
      <c r="L27" s="10"/>
      <c r="M27" s="10"/>
      <c r="N27" s="6"/>
      <c r="O27" s="6"/>
      <c r="P27" s="6"/>
    </row>
    <row r="28" spans="2:20" s="1" customFormat="1">
      <c r="B28" s="59" t="s">
        <v>48</v>
      </c>
      <c r="C28" s="26"/>
      <c r="D28" s="26"/>
      <c r="E28" s="26"/>
      <c r="F28" s="26"/>
      <c r="G28" s="26"/>
      <c r="H28" s="26"/>
      <c r="I28" s="26"/>
      <c r="J28" s="26"/>
      <c r="K28" s="27"/>
      <c r="L28" s="10"/>
      <c r="M28" s="10"/>
      <c r="N28" s="6"/>
      <c r="O28" s="6"/>
      <c r="P28" s="6"/>
    </row>
    <row r="29" spans="2:20" s="1" customFormat="1">
      <c r="B29" s="60" t="s">
        <v>50</v>
      </c>
      <c r="C29" s="26"/>
      <c r="D29" s="26"/>
      <c r="E29" s="26">
        <f>E25+1%</f>
        <v>0.36</v>
      </c>
      <c r="F29" s="26">
        <f t="shared" ref="F29:K29" si="5">F25+1%</f>
        <v>0.35799999999999998</v>
      </c>
      <c r="G29" s="26">
        <f t="shared" si="5"/>
        <v>0.35200000000000004</v>
      </c>
      <c r="H29" s="26">
        <f t="shared" si="5"/>
        <v>0.34500000000000003</v>
      </c>
      <c r="I29" s="26">
        <f t="shared" si="5"/>
        <v>0.34</v>
      </c>
      <c r="J29" s="26">
        <f t="shared" si="5"/>
        <v>0.34</v>
      </c>
      <c r="K29" s="27">
        <f t="shared" si="5"/>
        <v>0.34</v>
      </c>
      <c r="L29" s="10"/>
      <c r="M29" s="10"/>
      <c r="N29" s="6"/>
      <c r="O29" s="6"/>
      <c r="P29" s="6"/>
    </row>
    <row r="30" spans="2:20" s="1" customFormat="1">
      <c r="B30" s="60" t="s">
        <v>51</v>
      </c>
      <c r="C30" s="26"/>
      <c r="D30" s="26"/>
      <c r="E30" s="26">
        <f>E26-1%</f>
        <v>0.39</v>
      </c>
      <c r="F30" s="26">
        <f t="shared" ref="F30:K30" si="6">F26-1%</f>
        <v>0.39999999999999997</v>
      </c>
      <c r="G30" s="26">
        <f t="shared" si="6"/>
        <v>0.40499999999999997</v>
      </c>
      <c r="H30" s="26">
        <f t="shared" si="6"/>
        <v>0.41</v>
      </c>
      <c r="I30" s="26">
        <f t="shared" si="6"/>
        <v>0.41</v>
      </c>
      <c r="J30" s="26">
        <f t="shared" si="6"/>
        <v>0.41</v>
      </c>
      <c r="K30" s="27">
        <f t="shared" si="6"/>
        <v>0.41</v>
      </c>
      <c r="L30" s="10"/>
      <c r="M30" s="10"/>
      <c r="N30" s="6"/>
      <c r="O30" s="6"/>
      <c r="P30" s="6"/>
    </row>
    <row r="31" spans="2:20">
      <c r="B31" s="60" t="s">
        <v>53</v>
      </c>
      <c r="C31" s="26"/>
      <c r="D31" s="26"/>
      <c r="E31" s="26">
        <f>E27-2%</f>
        <v>0.45999999999999996</v>
      </c>
      <c r="F31" s="26">
        <f t="shared" ref="F31:K31" si="7">F27-2%</f>
        <v>0.47</v>
      </c>
      <c r="G31" s="26">
        <f t="shared" si="7"/>
        <v>0.48</v>
      </c>
      <c r="H31" s="26">
        <f t="shared" si="7"/>
        <v>0.48</v>
      </c>
      <c r="I31" s="26">
        <f t="shared" si="7"/>
        <v>0.48</v>
      </c>
      <c r="J31" s="26">
        <f t="shared" si="7"/>
        <v>0.48</v>
      </c>
      <c r="K31" s="27">
        <f t="shared" si="7"/>
        <v>0.48</v>
      </c>
      <c r="L31" s="10"/>
      <c r="M31" s="10"/>
    </row>
    <row r="32" spans="2:20">
      <c r="B32" s="199" t="s">
        <v>54</v>
      </c>
      <c r="C32" s="200"/>
      <c r="D32" s="200"/>
      <c r="E32" s="200"/>
      <c r="F32" s="200"/>
      <c r="G32" s="200"/>
      <c r="H32" s="200"/>
      <c r="I32" s="200"/>
      <c r="J32" s="200"/>
      <c r="K32" s="201"/>
      <c r="L32" s="10"/>
      <c r="M32" s="10"/>
    </row>
    <row r="33" spans="2:53">
      <c r="B33" s="18" t="s">
        <v>47</v>
      </c>
      <c r="C33" s="26"/>
      <c r="D33" s="26"/>
      <c r="E33" s="26">
        <v>0.45</v>
      </c>
      <c r="F33" s="26">
        <v>0.5</v>
      </c>
      <c r="G33" s="26">
        <v>0.6</v>
      </c>
      <c r="H33" s="26">
        <v>0.8</v>
      </c>
      <c r="I33" s="26">
        <v>0.85</v>
      </c>
      <c r="J33" s="26">
        <v>0.9</v>
      </c>
      <c r="K33" s="27">
        <v>0.95</v>
      </c>
      <c r="L33" s="10"/>
      <c r="M33" s="10"/>
    </row>
    <row r="34" spans="2:53">
      <c r="B34" s="18" t="s">
        <v>48</v>
      </c>
      <c r="C34" s="26"/>
      <c r="D34" s="26"/>
      <c r="E34" s="26"/>
      <c r="F34" s="26">
        <v>0.4</v>
      </c>
      <c r="G34" s="26">
        <v>0.5</v>
      </c>
      <c r="H34" s="26">
        <v>0.65</v>
      </c>
      <c r="I34" s="26">
        <v>0.8</v>
      </c>
      <c r="J34" s="26">
        <v>0.95</v>
      </c>
      <c r="K34" s="27">
        <v>0.95</v>
      </c>
      <c r="L34" s="10"/>
      <c r="M34" s="10"/>
    </row>
    <row r="35" spans="2:53">
      <c r="B35" s="21"/>
      <c r="C35" s="19"/>
      <c r="D35" s="19"/>
      <c r="E35" s="19"/>
      <c r="F35" s="19"/>
      <c r="G35" s="19"/>
      <c r="H35" s="19"/>
      <c r="I35" s="19"/>
      <c r="J35" s="19"/>
      <c r="K35" s="20"/>
    </row>
    <row r="36" spans="2:53">
      <c r="B36" s="199" t="s">
        <v>55</v>
      </c>
      <c r="C36" s="200"/>
      <c r="D36" s="200"/>
      <c r="E36" s="200"/>
      <c r="F36" s="200"/>
      <c r="G36" s="200"/>
      <c r="H36" s="200"/>
      <c r="I36" s="200"/>
      <c r="J36" s="200"/>
      <c r="K36" s="201"/>
      <c r="L36" s="8"/>
    </row>
    <row r="37" spans="2:53">
      <c r="B37" s="18" t="s">
        <v>47</v>
      </c>
      <c r="C37" s="19"/>
      <c r="D37" s="96">
        <v>481950000</v>
      </c>
      <c r="E37" s="96">
        <v>963900000</v>
      </c>
      <c r="F37" s="96">
        <v>1890000000</v>
      </c>
      <c r="G37" s="96">
        <v>2680920000</v>
      </c>
      <c r="H37" s="96">
        <v>3557200000</v>
      </c>
      <c r="I37" s="96">
        <v>3783350000</v>
      </c>
      <c r="J37" s="96">
        <v>4005900000</v>
      </c>
      <c r="K37" s="97">
        <v>4228450000</v>
      </c>
      <c r="L37" s="8"/>
    </row>
    <row r="38" spans="2:53">
      <c r="B38" s="28" t="s">
        <v>48</v>
      </c>
      <c r="C38" s="29"/>
      <c r="D38" s="98">
        <v>457852500</v>
      </c>
      <c r="E38" s="98">
        <v>915705000</v>
      </c>
      <c r="F38" s="98">
        <v>1795500000</v>
      </c>
      <c r="G38" s="98">
        <v>2546874000</v>
      </c>
      <c r="H38" s="98">
        <v>3379340000</v>
      </c>
      <c r="I38" s="98">
        <v>3594182500</v>
      </c>
      <c r="J38" s="98">
        <v>3805605000</v>
      </c>
      <c r="K38" s="99">
        <v>4017027500</v>
      </c>
      <c r="L38" s="8"/>
    </row>
    <row r="39" spans="2:53" s="1" customFormat="1">
      <c r="B39" s="85"/>
      <c r="C39" s="19"/>
      <c r="D39" s="125"/>
      <c r="E39" s="125"/>
      <c r="F39" s="125"/>
      <c r="G39" s="125"/>
      <c r="H39" s="125"/>
      <c r="I39" s="125"/>
      <c r="J39" s="125"/>
      <c r="K39" s="125"/>
      <c r="L39" s="8"/>
      <c r="M39" s="6"/>
      <c r="N39" s="6"/>
      <c r="O39" s="6"/>
      <c r="P39" s="6"/>
    </row>
    <row r="40" spans="2:53">
      <c r="B40" s="126" t="s">
        <v>113</v>
      </c>
      <c r="C40" s="127" t="s">
        <v>47</v>
      </c>
      <c r="D40" s="127" t="s">
        <v>48</v>
      </c>
      <c r="L40" s="8"/>
      <c r="AD40" t="s">
        <v>143</v>
      </c>
    </row>
    <row r="41" spans="2:53" s="1" customFormat="1">
      <c r="B41" s="132" t="s">
        <v>64</v>
      </c>
      <c r="C41" s="128">
        <v>0.21</v>
      </c>
      <c r="D41" s="129">
        <v>0.24</v>
      </c>
      <c r="E41" s="41" t="s">
        <v>112</v>
      </c>
      <c r="F41" s="6"/>
      <c r="G41" s="6"/>
      <c r="H41" s="6"/>
      <c r="I41" s="6"/>
      <c r="J41" s="6"/>
      <c r="K41" s="6"/>
      <c r="L41" s="8"/>
      <c r="M41" s="6"/>
      <c r="N41" s="6"/>
      <c r="O41" s="6"/>
      <c r="P41" s="6"/>
      <c r="AD41" s="195" t="s">
        <v>47</v>
      </c>
      <c r="AE41" s="195"/>
      <c r="AF41" s="195"/>
      <c r="AG41" s="5" t="s">
        <v>115</v>
      </c>
    </row>
    <row r="42" spans="2:53" s="1" customFormat="1">
      <c r="B42" s="132" t="s">
        <v>15</v>
      </c>
      <c r="C42" s="130">
        <v>0.1242</v>
      </c>
      <c r="D42" s="131">
        <f>wacc</f>
        <v>0.1242</v>
      </c>
      <c r="E42" s="6"/>
      <c r="F42" s="6"/>
      <c r="G42" s="6"/>
      <c r="H42" s="6"/>
      <c r="I42" s="6"/>
      <c r="J42" s="6"/>
      <c r="K42" s="6"/>
      <c r="L42" s="8"/>
      <c r="M42" s="6"/>
      <c r="N42" s="6"/>
      <c r="O42" s="6"/>
      <c r="P42" s="6"/>
      <c r="AD42" s="194" t="s">
        <v>114</v>
      </c>
      <c r="AE42" s="194"/>
      <c r="AF42" s="194"/>
      <c r="AG42" s="106">
        <f t="shared" ref="AG42:AZ42" si="8">D61</f>
        <v>44561</v>
      </c>
      <c r="AH42" s="106">
        <f t="shared" si="8"/>
        <v>44926</v>
      </c>
      <c r="AI42" s="106">
        <f t="shared" si="8"/>
        <v>45291</v>
      </c>
      <c r="AJ42" s="106">
        <f t="shared" si="8"/>
        <v>45657</v>
      </c>
      <c r="AK42" s="106">
        <f t="shared" si="8"/>
        <v>46022</v>
      </c>
      <c r="AL42" s="106">
        <f t="shared" si="8"/>
        <v>46387</v>
      </c>
      <c r="AM42" s="106">
        <f t="shared" si="8"/>
        <v>46752</v>
      </c>
      <c r="AN42" s="106">
        <f t="shared" si="8"/>
        <v>47118</v>
      </c>
      <c r="AO42" s="106">
        <f t="shared" si="8"/>
        <v>47483.25</v>
      </c>
      <c r="AP42" s="106">
        <f t="shared" si="8"/>
        <v>47848.5</v>
      </c>
      <c r="AQ42" s="106">
        <f t="shared" si="8"/>
        <v>48213.75</v>
      </c>
      <c r="AR42" s="106">
        <f t="shared" si="8"/>
        <v>48579</v>
      </c>
      <c r="AS42" s="106">
        <f t="shared" si="8"/>
        <v>48944.25</v>
      </c>
      <c r="AT42" s="106">
        <f t="shared" si="8"/>
        <v>49309.5</v>
      </c>
      <c r="AU42" s="106">
        <f t="shared" si="8"/>
        <v>49674.75</v>
      </c>
      <c r="AV42" s="106">
        <f t="shared" si="8"/>
        <v>50040</v>
      </c>
      <c r="AW42" s="106">
        <f t="shared" si="8"/>
        <v>50405.25</v>
      </c>
      <c r="AX42" s="106">
        <f t="shared" si="8"/>
        <v>50770.5</v>
      </c>
      <c r="AY42" s="106">
        <f t="shared" si="8"/>
        <v>51135.75</v>
      </c>
      <c r="AZ42" s="106">
        <f t="shared" si="8"/>
        <v>51501</v>
      </c>
    </row>
    <row r="43" spans="2:53" s="1" customFormat="1">
      <c r="B43" s="132" t="s">
        <v>70</v>
      </c>
      <c r="C43" s="202">
        <v>0.03</v>
      </c>
      <c r="D43" s="202"/>
      <c r="E43" s="105" t="s">
        <v>150</v>
      </c>
      <c r="F43" s="8"/>
      <c r="G43" s="8"/>
      <c r="H43" s="8"/>
      <c r="I43" s="8"/>
      <c r="J43" s="8"/>
      <c r="K43" s="8"/>
      <c r="L43" s="8"/>
      <c r="M43" s="6"/>
      <c r="N43" s="6"/>
      <c r="O43" s="6"/>
      <c r="P43" s="6"/>
      <c r="AE43" s="106">
        <v>44197</v>
      </c>
      <c r="AF43" s="67">
        <v>3000000000</v>
      </c>
      <c r="AG43" s="107">
        <f>$AF43/20</f>
        <v>150000000</v>
      </c>
      <c r="AH43" s="107">
        <f t="shared" ref="AH43:AZ55" si="9">$AF43/20</f>
        <v>150000000</v>
      </c>
      <c r="AI43" s="107">
        <f t="shared" si="9"/>
        <v>150000000</v>
      </c>
      <c r="AJ43" s="107">
        <f t="shared" si="9"/>
        <v>150000000</v>
      </c>
      <c r="AK43" s="107">
        <f t="shared" si="9"/>
        <v>150000000</v>
      </c>
      <c r="AL43" s="107">
        <f t="shared" si="9"/>
        <v>150000000</v>
      </c>
      <c r="AM43" s="107">
        <f t="shared" si="9"/>
        <v>150000000</v>
      </c>
      <c r="AN43" s="107">
        <f t="shared" si="9"/>
        <v>150000000</v>
      </c>
      <c r="AO43" s="107">
        <f t="shared" si="9"/>
        <v>150000000</v>
      </c>
      <c r="AP43" s="107">
        <f t="shared" si="9"/>
        <v>150000000</v>
      </c>
      <c r="AQ43" s="107">
        <f t="shared" si="9"/>
        <v>150000000</v>
      </c>
      <c r="AR43" s="107">
        <f t="shared" si="9"/>
        <v>150000000</v>
      </c>
      <c r="AS43" s="107">
        <f t="shared" si="9"/>
        <v>150000000</v>
      </c>
      <c r="AT43" s="107">
        <f t="shared" si="9"/>
        <v>150000000</v>
      </c>
      <c r="AU43" s="107">
        <f t="shared" si="9"/>
        <v>150000000</v>
      </c>
      <c r="AV43" s="107">
        <f t="shared" si="9"/>
        <v>150000000</v>
      </c>
      <c r="AW43" s="107">
        <f t="shared" si="9"/>
        <v>150000000</v>
      </c>
      <c r="AX43" s="107">
        <f t="shared" si="9"/>
        <v>150000000</v>
      </c>
      <c r="AY43" s="107">
        <f t="shared" si="9"/>
        <v>150000000</v>
      </c>
      <c r="AZ43" s="107">
        <f t="shared" si="9"/>
        <v>150000000</v>
      </c>
      <c r="BA43" s="107">
        <f>SUM(AG43:AZ43)</f>
        <v>3000000000</v>
      </c>
    </row>
    <row r="44" spans="2:53" s="1" customFormat="1">
      <c r="C44" s="6"/>
      <c r="D44" s="6"/>
      <c r="E44" s="6"/>
      <c r="F44" s="6"/>
      <c r="G44" s="6"/>
      <c r="H44" s="6"/>
      <c r="I44" s="6"/>
      <c r="J44" s="6"/>
      <c r="K44" s="6"/>
      <c r="L44" s="8"/>
      <c r="M44" s="6"/>
      <c r="N44" s="6"/>
      <c r="O44" s="6"/>
      <c r="P44" s="6"/>
      <c r="AE44" s="106">
        <v>44561</v>
      </c>
      <c r="AF44" s="67">
        <v>4000000000</v>
      </c>
      <c r="AG44" s="107">
        <f t="shared" ref="AG44:AS56" si="10">$AF44/20</f>
        <v>200000000</v>
      </c>
      <c r="AH44" s="107">
        <f t="shared" si="9"/>
        <v>200000000</v>
      </c>
      <c r="AI44" s="107">
        <f t="shared" si="9"/>
        <v>200000000</v>
      </c>
      <c r="AJ44" s="107">
        <f t="shared" si="9"/>
        <v>200000000</v>
      </c>
      <c r="AK44" s="107">
        <f t="shared" si="9"/>
        <v>200000000</v>
      </c>
      <c r="AL44" s="107">
        <f t="shared" si="9"/>
        <v>200000000</v>
      </c>
      <c r="AM44" s="107">
        <f t="shared" si="9"/>
        <v>200000000</v>
      </c>
      <c r="AN44" s="107">
        <f t="shared" si="9"/>
        <v>200000000</v>
      </c>
      <c r="AO44" s="107">
        <f t="shared" si="9"/>
        <v>200000000</v>
      </c>
      <c r="AP44" s="107">
        <f t="shared" si="9"/>
        <v>200000000</v>
      </c>
      <c r="AQ44" s="107">
        <f t="shared" si="9"/>
        <v>200000000</v>
      </c>
      <c r="AR44" s="107">
        <f t="shared" si="9"/>
        <v>200000000</v>
      </c>
      <c r="AS44" s="107">
        <f t="shared" si="9"/>
        <v>200000000</v>
      </c>
      <c r="AT44" s="107">
        <f t="shared" si="9"/>
        <v>200000000</v>
      </c>
      <c r="AU44" s="107">
        <f t="shared" si="9"/>
        <v>200000000</v>
      </c>
      <c r="AV44" s="107">
        <f t="shared" si="9"/>
        <v>200000000</v>
      </c>
      <c r="AW44" s="107">
        <f t="shared" si="9"/>
        <v>200000000</v>
      </c>
      <c r="AX44" s="107">
        <f t="shared" si="9"/>
        <v>200000000</v>
      </c>
      <c r="AY44" s="107">
        <f t="shared" si="9"/>
        <v>200000000</v>
      </c>
      <c r="AZ44" s="107">
        <f t="shared" si="9"/>
        <v>200000000</v>
      </c>
      <c r="BA44" s="107">
        <f t="shared" ref="BA44:BA63" si="11">SUM(AG44:AZ44)</f>
        <v>4000000000</v>
      </c>
    </row>
    <row r="45" spans="2:53">
      <c r="B45" s="94" t="s">
        <v>47</v>
      </c>
      <c r="Q45" s="1"/>
      <c r="AE45" s="106">
        <v>44926</v>
      </c>
      <c r="AF45" s="67">
        <v>3500000000</v>
      </c>
      <c r="AG45" s="107"/>
      <c r="AH45" s="107">
        <f t="shared" si="10"/>
        <v>175000000</v>
      </c>
      <c r="AI45" s="107">
        <f t="shared" si="9"/>
        <v>175000000</v>
      </c>
      <c r="AJ45" s="107">
        <f t="shared" si="9"/>
        <v>175000000</v>
      </c>
      <c r="AK45" s="107">
        <f t="shared" si="9"/>
        <v>175000000</v>
      </c>
      <c r="AL45" s="107">
        <f t="shared" si="9"/>
        <v>175000000</v>
      </c>
      <c r="AM45" s="107">
        <f t="shared" si="9"/>
        <v>175000000</v>
      </c>
      <c r="AN45" s="107">
        <f t="shared" si="9"/>
        <v>175000000</v>
      </c>
      <c r="AO45" s="107">
        <f t="shared" si="9"/>
        <v>175000000</v>
      </c>
      <c r="AP45" s="107">
        <f t="shared" si="9"/>
        <v>175000000</v>
      </c>
      <c r="AQ45" s="107">
        <f t="shared" si="9"/>
        <v>175000000</v>
      </c>
      <c r="AR45" s="107">
        <f t="shared" si="9"/>
        <v>175000000</v>
      </c>
      <c r="AS45" s="107">
        <f t="shared" si="9"/>
        <v>175000000</v>
      </c>
      <c r="AT45" s="107">
        <f t="shared" si="9"/>
        <v>175000000</v>
      </c>
      <c r="AU45" s="107">
        <f t="shared" si="9"/>
        <v>175000000</v>
      </c>
      <c r="AV45" s="107">
        <f t="shared" si="9"/>
        <v>175000000</v>
      </c>
      <c r="AW45" s="107">
        <f t="shared" si="9"/>
        <v>175000000</v>
      </c>
      <c r="AX45" s="107">
        <f t="shared" si="9"/>
        <v>175000000</v>
      </c>
      <c r="AY45" s="107">
        <f t="shared" si="9"/>
        <v>175000000</v>
      </c>
      <c r="AZ45" s="107">
        <f t="shared" si="9"/>
        <v>175000000</v>
      </c>
      <c r="BA45" s="107">
        <f t="shared" si="11"/>
        <v>3325000000</v>
      </c>
    </row>
    <row r="46" spans="2:53">
      <c r="B46" s="15"/>
      <c r="C46" s="64">
        <f>+C2</f>
        <v>44197</v>
      </c>
      <c r="D46" s="64">
        <f t="shared" ref="D46:K46" si="12">+D2</f>
        <v>44561</v>
      </c>
      <c r="E46" s="64">
        <f t="shared" si="12"/>
        <v>44926</v>
      </c>
      <c r="F46" s="64">
        <f t="shared" si="12"/>
        <v>45291</v>
      </c>
      <c r="G46" s="64">
        <f t="shared" si="12"/>
        <v>45657</v>
      </c>
      <c r="H46" s="64">
        <f t="shared" si="12"/>
        <v>46022</v>
      </c>
      <c r="I46" s="64">
        <f t="shared" si="12"/>
        <v>46387</v>
      </c>
      <c r="J46" s="64">
        <f t="shared" si="12"/>
        <v>46752</v>
      </c>
      <c r="K46" s="64">
        <f t="shared" si="12"/>
        <v>47118</v>
      </c>
      <c r="L46" s="8"/>
      <c r="Q46" s="1"/>
      <c r="AE46" s="106">
        <v>45291</v>
      </c>
      <c r="AF46" s="67">
        <v>300000000</v>
      </c>
      <c r="AG46" s="107"/>
      <c r="AH46" s="107"/>
      <c r="AI46" s="107">
        <f t="shared" si="10"/>
        <v>15000000</v>
      </c>
      <c r="AJ46" s="107">
        <f t="shared" si="9"/>
        <v>15000000</v>
      </c>
      <c r="AK46" s="107">
        <f t="shared" si="9"/>
        <v>15000000</v>
      </c>
      <c r="AL46" s="107">
        <f t="shared" si="9"/>
        <v>15000000</v>
      </c>
      <c r="AM46" s="107">
        <f t="shared" si="9"/>
        <v>15000000</v>
      </c>
      <c r="AN46" s="107">
        <f t="shared" si="9"/>
        <v>15000000</v>
      </c>
      <c r="AO46" s="107">
        <f t="shared" si="9"/>
        <v>15000000</v>
      </c>
      <c r="AP46" s="107">
        <f t="shared" si="9"/>
        <v>15000000</v>
      </c>
      <c r="AQ46" s="107">
        <f t="shared" si="9"/>
        <v>15000000</v>
      </c>
      <c r="AR46" s="107">
        <f t="shared" si="9"/>
        <v>15000000</v>
      </c>
      <c r="AS46" s="107">
        <f t="shared" si="9"/>
        <v>15000000</v>
      </c>
      <c r="AT46" s="107">
        <f t="shared" si="9"/>
        <v>15000000</v>
      </c>
      <c r="AU46" s="107">
        <f t="shared" si="9"/>
        <v>15000000</v>
      </c>
      <c r="AV46" s="107">
        <f t="shared" si="9"/>
        <v>15000000</v>
      </c>
      <c r="AW46" s="107">
        <f t="shared" si="9"/>
        <v>15000000</v>
      </c>
      <c r="AX46" s="107">
        <f t="shared" si="9"/>
        <v>15000000</v>
      </c>
      <c r="AY46" s="107">
        <f t="shared" si="9"/>
        <v>15000000</v>
      </c>
      <c r="AZ46" s="107">
        <f t="shared" si="9"/>
        <v>15000000</v>
      </c>
      <c r="BA46" s="107">
        <f t="shared" si="11"/>
        <v>270000000</v>
      </c>
    </row>
    <row r="47" spans="2:53">
      <c r="B47" t="s">
        <v>11</v>
      </c>
      <c r="C47" s="8"/>
      <c r="D47" s="8"/>
      <c r="E47" s="65">
        <f>(E5*E19+E6*E20+E7*E21)*E33</f>
        <v>4050000000</v>
      </c>
      <c r="F47" s="65">
        <f>(F5*F19+F6*F20+F7*F21)*F33</f>
        <v>8062500000</v>
      </c>
      <c r="G47" s="65">
        <f>(G5*G19+G6*G20+G7*G21)*G33</f>
        <v>11550000000</v>
      </c>
      <c r="H47" s="65">
        <f t="shared" ref="H47:K47" si="13">(H5*H19+H6*H20+H7*H21)*H33</f>
        <v>15400000000</v>
      </c>
      <c r="I47" s="65">
        <f t="shared" si="13"/>
        <v>16362500000</v>
      </c>
      <c r="J47" s="65">
        <f t="shared" si="13"/>
        <v>17325000000</v>
      </c>
      <c r="K47" s="65">
        <f t="shared" si="13"/>
        <v>18287500000</v>
      </c>
      <c r="L47" s="8"/>
      <c r="Q47" s="1"/>
      <c r="AE47" s="106">
        <v>45657</v>
      </c>
      <c r="AF47" s="67">
        <v>300000000</v>
      </c>
      <c r="AG47" s="107"/>
      <c r="AH47" s="107"/>
      <c r="AI47" s="107"/>
      <c r="AJ47" s="107">
        <f t="shared" si="10"/>
        <v>15000000</v>
      </c>
      <c r="AK47" s="107">
        <f t="shared" si="9"/>
        <v>15000000</v>
      </c>
      <c r="AL47" s="107">
        <f t="shared" si="9"/>
        <v>15000000</v>
      </c>
      <c r="AM47" s="107">
        <f t="shared" si="9"/>
        <v>15000000</v>
      </c>
      <c r="AN47" s="107">
        <f t="shared" si="9"/>
        <v>15000000</v>
      </c>
      <c r="AO47" s="107">
        <f t="shared" si="9"/>
        <v>15000000</v>
      </c>
      <c r="AP47" s="107">
        <f t="shared" si="9"/>
        <v>15000000</v>
      </c>
      <c r="AQ47" s="107">
        <f t="shared" si="9"/>
        <v>15000000</v>
      </c>
      <c r="AR47" s="107">
        <f t="shared" si="9"/>
        <v>15000000</v>
      </c>
      <c r="AS47" s="107">
        <f t="shared" si="9"/>
        <v>15000000</v>
      </c>
      <c r="AT47" s="107">
        <f t="shared" si="9"/>
        <v>15000000</v>
      </c>
      <c r="AU47" s="107">
        <f t="shared" si="9"/>
        <v>15000000</v>
      </c>
      <c r="AV47" s="107">
        <f t="shared" si="9"/>
        <v>15000000</v>
      </c>
      <c r="AW47" s="107">
        <f t="shared" si="9"/>
        <v>15000000</v>
      </c>
      <c r="AX47" s="107">
        <f t="shared" si="9"/>
        <v>15000000</v>
      </c>
      <c r="AY47" s="107">
        <f t="shared" si="9"/>
        <v>15000000</v>
      </c>
      <c r="AZ47" s="107">
        <f t="shared" si="9"/>
        <v>15000000</v>
      </c>
      <c r="BA47" s="107">
        <f t="shared" si="11"/>
        <v>255000000</v>
      </c>
    </row>
    <row r="48" spans="2:53">
      <c r="B48" t="s">
        <v>12</v>
      </c>
      <c r="C48" s="8"/>
      <c r="D48" s="8"/>
      <c r="E48" s="65">
        <f>(E5*E19*E25+E6*E20*E26+E7*E21*E27)*E33</f>
        <v>1640250000</v>
      </c>
      <c r="F48" s="65">
        <f t="shared" ref="F48:K48" si="14">(F5*F19*F25+F6*F20*F26+F7*F21*F27)*F33</f>
        <v>3337500000</v>
      </c>
      <c r="G48" s="65">
        <f t="shared" si="14"/>
        <v>4847700000</v>
      </c>
      <c r="H48" s="65">
        <f t="shared" si="14"/>
        <v>6507000000</v>
      </c>
      <c r="I48" s="65">
        <f t="shared" si="14"/>
        <v>6904125000</v>
      </c>
      <c r="J48" s="65">
        <f t="shared" si="14"/>
        <v>7310250000</v>
      </c>
      <c r="K48" s="65">
        <f t="shared" si="14"/>
        <v>7716375000</v>
      </c>
      <c r="L48" s="8"/>
      <c r="Q48" s="1"/>
      <c r="AE48" s="106">
        <v>46022</v>
      </c>
      <c r="AF48" s="67">
        <v>300000000</v>
      </c>
      <c r="AG48" s="107"/>
      <c r="AH48" s="107"/>
      <c r="AI48" s="107"/>
      <c r="AJ48" s="107"/>
      <c r="AK48" s="107">
        <f t="shared" si="10"/>
        <v>15000000</v>
      </c>
      <c r="AL48" s="107">
        <f t="shared" si="9"/>
        <v>15000000</v>
      </c>
      <c r="AM48" s="107">
        <f t="shared" si="9"/>
        <v>15000000</v>
      </c>
      <c r="AN48" s="107">
        <f t="shared" si="9"/>
        <v>15000000</v>
      </c>
      <c r="AO48" s="107">
        <f t="shared" si="9"/>
        <v>15000000</v>
      </c>
      <c r="AP48" s="107">
        <f t="shared" si="9"/>
        <v>15000000</v>
      </c>
      <c r="AQ48" s="107">
        <f t="shared" si="9"/>
        <v>15000000</v>
      </c>
      <c r="AR48" s="107">
        <f t="shared" si="9"/>
        <v>15000000</v>
      </c>
      <c r="AS48" s="107">
        <f t="shared" si="9"/>
        <v>15000000</v>
      </c>
      <c r="AT48" s="107">
        <f t="shared" si="9"/>
        <v>15000000</v>
      </c>
      <c r="AU48" s="107">
        <f t="shared" si="9"/>
        <v>15000000</v>
      </c>
      <c r="AV48" s="107">
        <f t="shared" si="9"/>
        <v>15000000</v>
      </c>
      <c r="AW48" s="107">
        <f t="shared" si="9"/>
        <v>15000000</v>
      </c>
      <c r="AX48" s="107">
        <f t="shared" si="9"/>
        <v>15000000</v>
      </c>
      <c r="AY48" s="107">
        <f t="shared" si="9"/>
        <v>15000000</v>
      </c>
      <c r="AZ48" s="107">
        <f t="shared" si="9"/>
        <v>15000000</v>
      </c>
      <c r="BA48" s="107">
        <f t="shared" si="11"/>
        <v>240000000</v>
      </c>
    </row>
    <row r="49" spans="2:53">
      <c r="B49" t="s">
        <v>0</v>
      </c>
      <c r="C49" s="8"/>
      <c r="D49" s="8"/>
      <c r="E49" s="65">
        <f>E47-E48</f>
        <v>2409750000</v>
      </c>
      <c r="F49" s="65">
        <f t="shared" ref="F49:K49" si="15">F47-F48</f>
        <v>4725000000</v>
      </c>
      <c r="G49" s="65">
        <f t="shared" si="15"/>
        <v>6702300000</v>
      </c>
      <c r="H49" s="65">
        <f t="shared" si="15"/>
        <v>8893000000</v>
      </c>
      <c r="I49" s="65">
        <f t="shared" si="15"/>
        <v>9458375000</v>
      </c>
      <c r="J49" s="65">
        <f t="shared" si="15"/>
        <v>10014750000</v>
      </c>
      <c r="K49" s="65">
        <f t="shared" si="15"/>
        <v>10571125000</v>
      </c>
      <c r="L49" s="8"/>
      <c r="Q49" s="1"/>
      <c r="AE49" s="106">
        <v>46387</v>
      </c>
      <c r="AF49" s="67">
        <v>300000000</v>
      </c>
      <c r="AG49" s="107"/>
      <c r="AH49" s="107"/>
      <c r="AI49" s="107"/>
      <c r="AJ49" s="107"/>
      <c r="AK49" s="107"/>
      <c r="AL49" s="107">
        <f t="shared" si="10"/>
        <v>15000000</v>
      </c>
      <c r="AM49" s="107">
        <f t="shared" si="9"/>
        <v>15000000</v>
      </c>
      <c r="AN49" s="107">
        <f t="shared" si="9"/>
        <v>15000000</v>
      </c>
      <c r="AO49" s="107">
        <f t="shared" si="9"/>
        <v>15000000</v>
      </c>
      <c r="AP49" s="107">
        <f t="shared" si="9"/>
        <v>15000000</v>
      </c>
      <c r="AQ49" s="107">
        <f t="shared" si="9"/>
        <v>15000000</v>
      </c>
      <c r="AR49" s="107">
        <f t="shared" si="9"/>
        <v>15000000</v>
      </c>
      <c r="AS49" s="107">
        <f t="shared" si="9"/>
        <v>15000000</v>
      </c>
      <c r="AT49" s="107">
        <f t="shared" si="9"/>
        <v>15000000</v>
      </c>
      <c r="AU49" s="107">
        <f t="shared" si="9"/>
        <v>15000000</v>
      </c>
      <c r="AV49" s="107">
        <f t="shared" si="9"/>
        <v>15000000</v>
      </c>
      <c r="AW49" s="107">
        <f t="shared" si="9"/>
        <v>15000000</v>
      </c>
      <c r="AX49" s="107">
        <f t="shared" si="9"/>
        <v>15000000</v>
      </c>
      <c r="AY49" s="107">
        <f t="shared" si="9"/>
        <v>15000000</v>
      </c>
      <c r="AZ49" s="107">
        <f t="shared" si="9"/>
        <v>15000000</v>
      </c>
      <c r="BA49" s="107">
        <f t="shared" si="11"/>
        <v>225000000</v>
      </c>
    </row>
    <row r="50" spans="2:53">
      <c r="B50" s="69" t="s">
        <v>58</v>
      </c>
      <c r="C50" s="11"/>
      <c r="D50" s="11"/>
      <c r="E50" s="11">
        <f>+E49/E47</f>
        <v>0.59499999999999997</v>
      </c>
      <c r="F50" s="11">
        <f t="shared" ref="F50:K50" si="16">+F49/F47</f>
        <v>0.586046511627907</v>
      </c>
      <c r="G50" s="11">
        <f t="shared" si="16"/>
        <v>0.58028571428571429</v>
      </c>
      <c r="H50" s="11">
        <f t="shared" si="16"/>
        <v>0.57746753246753246</v>
      </c>
      <c r="I50" s="11">
        <f t="shared" si="16"/>
        <v>0.57805194805194804</v>
      </c>
      <c r="J50" s="11">
        <f t="shared" si="16"/>
        <v>0.57805194805194804</v>
      </c>
      <c r="K50" s="11">
        <f t="shared" si="16"/>
        <v>0.57805194805194804</v>
      </c>
      <c r="L50" s="8"/>
      <c r="Q50" s="1"/>
      <c r="AE50" s="106">
        <v>46752</v>
      </c>
      <c r="AF50" s="67">
        <v>300000000</v>
      </c>
      <c r="AG50" s="107"/>
      <c r="AH50" s="107"/>
      <c r="AI50" s="107"/>
      <c r="AJ50" s="107"/>
      <c r="AK50" s="107"/>
      <c r="AL50" s="107"/>
      <c r="AM50" s="107">
        <f t="shared" si="10"/>
        <v>15000000</v>
      </c>
      <c r="AN50" s="107">
        <f t="shared" si="9"/>
        <v>15000000</v>
      </c>
      <c r="AO50" s="107">
        <f t="shared" si="9"/>
        <v>15000000</v>
      </c>
      <c r="AP50" s="107">
        <f t="shared" si="9"/>
        <v>15000000</v>
      </c>
      <c r="AQ50" s="107">
        <f t="shared" si="9"/>
        <v>15000000</v>
      </c>
      <c r="AR50" s="107">
        <f t="shared" si="9"/>
        <v>15000000</v>
      </c>
      <c r="AS50" s="107">
        <f t="shared" si="9"/>
        <v>15000000</v>
      </c>
      <c r="AT50" s="107">
        <f t="shared" si="9"/>
        <v>15000000</v>
      </c>
      <c r="AU50" s="107">
        <f t="shared" si="9"/>
        <v>15000000</v>
      </c>
      <c r="AV50" s="107">
        <f t="shared" si="9"/>
        <v>15000000</v>
      </c>
      <c r="AW50" s="107">
        <f t="shared" si="9"/>
        <v>15000000</v>
      </c>
      <c r="AX50" s="107">
        <f t="shared" si="9"/>
        <v>15000000</v>
      </c>
      <c r="AY50" s="107">
        <f t="shared" si="9"/>
        <v>15000000</v>
      </c>
      <c r="AZ50" s="107">
        <f t="shared" si="9"/>
        <v>15000000</v>
      </c>
      <c r="BA50" s="107">
        <f t="shared" si="11"/>
        <v>210000000</v>
      </c>
    </row>
    <row r="51" spans="2:53">
      <c r="C51" s="8"/>
      <c r="D51" s="8"/>
      <c r="E51" s="8"/>
      <c r="F51" s="8"/>
      <c r="G51" s="8"/>
      <c r="H51" s="8"/>
      <c r="I51" s="8"/>
      <c r="J51" s="8"/>
      <c r="K51" s="8"/>
      <c r="L51" s="8"/>
      <c r="Q51" s="1"/>
      <c r="AE51" s="106">
        <v>47118</v>
      </c>
      <c r="AF51" s="67">
        <v>300000000</v>
      </c>
      <c r="AG51" s="107"/>
      <c r="AH51" s="107"/>
      <c r="AI51" s="107"/>
      <c r="AJ51" s="107"/>
      <c r="AK51" s="107"/>
      <c r="AL51" s="107"/>
      <c r="AM51" s="107"/>
      <c r="AN51" s="107">
        <f t="shared" si="10"/>
        <v>15000000</v>
      </c>
      <c r="AO51" s="107">
        <f t="shared" si="9"/>
        <v>15000000</v>
      </c>
      <c r="AP51" s="107">
        <f t="shared" si="9"/>
        <v>15000000</v>
      </c>
      <c r="AQ51" s="107">
        <f t="shared" si="9"/>
        <v>15000000</v>
      </c>
      <c r="AR51" s="107">
        <f t="shared" si="9"/>
        <v>15000000</v>
      </c>
      <c r="AS51" s="107">
        <f t="shared" si="9"/>
        <v>15000000</v>
      </c>
      <c r="AT51" s="107">
        <f t="shared" si="9"/>
        <v>15000000</v>
      </c>
      <c r="AU51" s="107">
        <f t="shared" si="9"/>
        <v>15000000</v>
      </c>
      <c r="AV51" s="107">
        <f t="shared" si="9"/>
        <v>15000000</v>
      </c>
      <c r="AW51" s="107">
        <f t="shared" si="9"/>
        <v>15000000</v>
      </c>
      <c r="AX51" s="107">
        <f t="shared" si="9"/>
        <v>15000000</v>
      </c>
      <c r="AY51" s="107">
        <f t="shared" si="9"/>
        <v>15000000</v>
      </c>
      <c r="AZ51" s="107">
        <f t="shared" si="9"/>
        <v>15000000</v>
      </c>
      <c r="BA51" s="107">
        <f t="shared" si="11"/>
        <v>195000000</v>
      </c>
    </row>
    <row r="52" spans="2:53">
      <c r="B52" t="s">
        <v>10</v>
      </c>
      <c r="C52" s="65">
        <f t="shared" ref="C52:D52" si="17">+-C37</f>
        <v>0</v>
      </c>
      <c r="D52" s="65">
        <f t="shared" si="17"/>
        <v>-481950000</v>
      </c>
      <c r="E52" s="65">
        <f>+-E37</f>
        <v>-963900000</v>
      </c>
      <c r="F52" s="65">
        <f t="shared" ref="F52:K52" si="18">+-F37</f>
        <v>-1890000000</v>
      </c>
      <c r="G52" s="65">
        <f t="shared" si="18"/>
        <v>-2680920000</v>
      </c>
      <c r="H52" s="65">
        <f t="shared" si="18"/>
        <v>-3557200000</v>
      </c>
      <c r="I52" s="65">
        <f t="shared" si="18"/>
        <v>-3783350000</v>
      </c>
      <c r="J52" s="65">
        <f t="shared" si="18"/>
        <v>-4005900000</v>
      </c>
      <c r="K52" s="65">
        <f t="shared" si="18"/>
        <v>-4228450000</v>
      </c>
      <c r="L52" s="8"/>
      <c r="M52" s="8"/>
      <c r="N52" s="8"/>
      <c r="O52" s="8"/>
      <c r="AE52" s="106">
        <v>47483.25</v>
      </c>
      <c r="AF52" s="67">
        <v>300000000</v>
      </c>
      <c r="AG52" s="107"/>
      <c r="AH52" s="107"/>
      <c r="AI52" s="107"/>
      <c r="AJ52" s="107"/>
      <c r="AK52" s="107"/>
      <c r="AL52" s="107"/>
      <c r="AM52" s="107"/>
      <c r="AN52" s="107"/>
      <c r="AO52" s="107">
        <f t="shared" si="10"/>
        <v>15000000</v>
      </c>
      <c r="AP52" s="107">
        <f t="shared" si="9"/>
        <v>15000000</v>
      </c>
      <c r="AQ52" s="107">
        <f t="shared" si="9"/>
        <v>15000000</v>
      </c>
      <c r="AR52" s="107">
        <f t="shared" si="9"/>
        <v>15000000</v>
      </c>
      <c r="AS52" s="107">
        <f t="shared" si="9"/>
        <v>15000000</v>
      </c>
      <c r="AT52" s="107">
        <f t="shared" si="9"/>
        <v>15000000</v>
      </c>
      <c r="AU52" s="107">
        <f t="shared" si="9"/>
        <v>15000000</v>
      </c>
      <c r="AV52" s="107">
        <f t="shared" si="9"/>
        <v>15000000</v>
      </c>
      <c r="AW52" s="107">
        <f t="shared" si="9"/>
        <v>15000000</v>
      </c>
      <c r="AX52" s="107">
        <f t="shared" si="9"/>
        <v>15000000</v>
      </c>
      <c r="AY52" s="107">
        <f t="shared" si="9"/>
        <v>15000000</v>
      </c>
      <c r="AZ52" s="107">
        <f t="shared" si="9"/>
        <v>15000000</v>
      </c>
      <c r="BA52" s="107">
        <f t="shared" si="11"/>
        <v>180000000</v>
      </c>
    </row>
    <row r="53" spans="2:53">
      <c r="B53" t="s">
        <v>1</v>
      </c>
      <c r="C53" s="65">
        <f t="shared" ref="C53" si="19">+C49+C52</f>
        <v>0</v>
      </c>
      <c r="D53" s="65">
        <f>+D49+D52</f>
        <v>-481950000</v>
      </c>
      <c r="E53" s="65">
        <f>+E49+E52</f>
        <v>1445850000</v>
      </c>
      <c r="F53" s="65">
        <f t="shared" ref="F53:K53" si="20">+F49+F52</f>
        <v>2835000000</v>
      </c>
      <c r="G53" s="65">
        <f t="shared" si="20"/>
        <v>4021380000</v>
      </c>
      <c r="H53" s="65">
        <f t="shared" si="20"/>
        <v>5335800000</v>
      </c>
      <c r="I53" s="65">
        <f t="shared" si="20"/>
        <v>5675025000</v>
      </c>
      <c r="J53" s="65">
        <f t="shared" si="20"/>
        <v>6008850000</v>
      </c>
      <c r="K53" s="65">
        <f t="shared" si="20"/>
        <v>6342675000</v>
      </c>
      <c r="L53" s="8"/>
      <c r="M53" s="8"/>
      <c r="N53" s="8"/>
      <c r="O53" s="8"/>
      <c r="AE53" s="106">
        <v>47848.5</v>
      </c>
      <c r="AF53" s="67">
        <v>300000000</v>
      </c>
      <c r="AG53" s="107"/>
      <c r="AH53" s="107"/>
      <c r="AI53" s="107"/>
      <c r="AJ53" s="107"/>
      <c r="AK53" s="107"/>
      <c r="AL53" s="107"/>
      <c r="AM53" s="107"/>
      <c r="AN53" s="107"/>
      <c r="AO53" s="107"/>
      <c r="AP53" s="107">
        <f t="shared" si="10"/>
        <v>15000000</v>
      </c>
      <c r="AQ53" s="107">
        <f t="shared" si="9"/>
        <v>15000000</v>
      </c>
      <c r="AR53" s="107">
        <f t="shared" si="9"/>
        <v>15000000</v>
      </c>
      <c r="AS53" s="107">
        <f t="shared" si="9"/>
        <v>15000000</v>
      </c>
      <c r="AT53" s="107">
        <f t="shared" si="9"/>
        <v>15000000</v>
      </c>
      <c r="AU53" s="107">
        <f t="shared" si="9"/>
        <v>15000000</v>
      </c>
      <c r="AV53" s="107">
        <f t="shared" si="9"/>
        <v>15000000</v>
      </c>
      <c r="AW53" s="107">
        <f t="shared" si="9"/>
        <v>15000000</v>
      </c>
      <c r="AX53" s="107">
        <f t="shared" si="9"/>
        <v>15000000</v>
      </c>
      <c r="AY53" s="107">
        <f t="shared" si="9"/>
        <v>15000000</v>
      </c>
      <c r="AZ53" s="107">
        <f t="shared" si="9"/>
        <v>15000000</v>
      </c>
      <c r="BA53" s="107">
        <f t="shared" si="11"/>
        <v>165000000</v>
      </c>
    </row>
    <row r="54" spans="2:53" s="1" customFormat="1">
      <c r="B54" s="69" t="s">
        <v>59</v>
      </c>
      <c r="C54" s="11"/>
      <c r="D54" s="11"/>
      <c r="E54" s="11">
        <f>+E53/E47</f>
        <v>0.35699999999999998</v>
      </c>
      <c r="F54" s="11">
        <f t="shared" ref="F54:K54" si="21">+F53/F47</f>
        <v>0.35162790697674418</v>
      </c>
      <c r="G54" s="11">
        <f t="shared" si="21"/>
        <v>0.34817142857142858</v>
      </c>
      <c r="H54" s="11">
        <f t="shared" si="21"/>
        <v>0.3464805194805195</v>
      </c>
      <c r="I54" s="11">
        <f t="shared" si="21"/>
        <v>0.34683116883116882</v>
      </c>
      <c r="J54" s="11">
        <f t="shared" si="21"/>
        <v>0.34683116883116882</v>
      </c>
      <c r="K54" s="11">
        <f t="shared" si="21"/>
        <v>0.34683116883116882</v>
      </c>
      <c r="L54" s="8"/>
      <c r="M54" s="8"/>
      <c r="N54" s="8"/>
      <c r="O54" s="8"/>
      <c r="P54" s="6"/>
      <c r="AE54" s="106">
        <v>48213.75</v>
      </c>
      <c r="AF54" s="67">
        <v>300000000</v>
      </c>
      <c r="AG54" s="107"/>
      <c r="AH54" s="107"/>
      <c r="AI54" s="107"/>
      <c r="AJ54" s="107"/>
      <c r="AK54" s="107"/>
      <c r="AL54" s="107"/>
      <c r="AM54" s="107"/>
      <c r="AN54" s="107"/>
      <c r="AO54" s="107"/>
      <c r="AP54" s="107"/>
      <c r="AQ54" s="107">
        <f t="shared" si="10"/>
        <v>15000000</v>
      </c>
      <c r="AR54" s="107">
        <f t="shared" si="9"/>
        <v>15000000</v>
      </c>
      <c r="AS54" s="107">
        <f t="shared" si="9"/>
        <v>15000000</v>
      </c>
      <c r="AT54" s="107">
        <f t="shared" si="9"/>
        <v>15000000</v>
      </c>
      <c r="AU54" s="107">
        <f t="shared" si="9"/>
        <v>15000000</v>
      </c>
      <c r="AV54" s="107">
        <f t="shared" si="9"/>
        <v>15000000</v>
      </c>
      <c r="AW54" s="107">
        <f t="shared" si="9"/>
        <v>15000000</v>
      </c>
      <c r="AX54" s="107">
        <f t="shared" si="9"/>
        <v>15000000</v>
      </c>
      <c r="AY54" s="107">
        <f t="shared" si="9"/>
        <v>15000000</v>
      </c>
      <c r="AZ54" s="107">
        <f t="shared" si="9"/>
        <v>15000000</v>
      </c>
      <c r="BA54" s="107">
        <f t="shared" si="11"/>
        <v>150000000</v>
      </c>
    </row>
    <row r="55" spans="2:53">
      <c r="B55" t="s">
        <v>13</v>
      </c>
      <c r="C55" s="65">
        <v>0</v>
      </c>
      <c r="D55" s="65">
        <f>+SUM($C13:D13)/20</f>
        <v>350000000</v>
      </c>
      <c r="E55" s="65">
        <f>+SUM($C13:E13)/20</f>
        <v>525000000</v>
      </c>
      <c r="F55" s="65">
        <f>+SUM($C13:F13)/20</f>
        <v>540000000</v>
      </c>
      <c r="G55" s="65">
        <f>+SUM($C13:G13)/20</f>
        <v>555000000</v>
      </c>
      <c r="H55" s="65">
        <f>+SUM($C13:H13)/20</f>
        <v>570000000</v>
      </c>
      <c r="I55" s="65">
        <f>+SUM($C13:I13)/20</f>
        <v>585000000</v>
      </c>
      <c r="J55" s="65">
        <f>+SUM($C13:J13)/20</f>
        <v>600000000</v>
      </c>
      <c r="K55" s="65">
        <f>+SUM($C13:K13)/20</f>
        <v>615000000</v>
      </c>
      <c r="L55" s="105" t="s">
        <v>137</v>
      </c>
      <c r="M55" s="8"/>
      <c r="N55" s="8"/>
      <c r="O55" s="8"/>
      <c r="AE55" s="106">
        <v>48579</v>
      </c>
      <c r="AF55" s="67">
        <v>300000000</v>
      </c>
      <c r="AG55" s="107"/>
      <c r="AH55" s="107"/>
      <c r="AI55" s="107"/>
      <c r="AJ55" s="107"/>
      <c r="AK55" s="107"/>
      <c r="AL55" s="107"/>
      <c r="AM55" s="107"/>
      <c r="AN55" s="107"/>
      <c r="AO55" s="107"/>
      <c r="AP55" s="107"/>
      <c r="AQ55" s="107"/>
      <c r="AR55" s="107">
        <f t="shared" si="10"/>
        <v>15000000</v>
      </c>
      <c r="AS55" s="107">
        <f t="shared" si="9"/>
        <v>15000000</v>
      </c>
      <c r="AT55" s="107">
        <f t="shared" si="9"/>
        <v>15000000</v>
      </c>
      <c r="AU55" s="107">
        <f t="shared" si="9"/>
        <v>15000000</v>
      </c>
      <c r="AV55" s="107">
        <f t="shared" si="9"/>
        <v>15000000</v>
      </c>
      <c r="AW55" s="107">
        <f t="shared" si="9"/>
        <v>15000000</v>
      </c>
      <c r="AX55" s="107">
        <f t="shared" si="9"/>
        <v>15000000</v>
      </c>
      <c r="AY55" s="107">
        <f t="shared" si="9"/>
        <v>15000000</v>
      </c>
      <c r="AZ55" s="107">
        <f t="shared" si="9"/>
        <v>15000000</v>
      </c>
      <c r="BA55" s="107">
        <f t="shared" si="11"/>
        <v>135000000</v>
      </c>
    </row>
    <row r="56" spans="2:53">
      <c r="B56" t="s">
        <v>2</v>
      </c>
      <c r="C56" s="66">
        <f t="shared" ref="C56:K56" si="22">+C53-C55</f>
        <v>0</v>
      </c>
      <c r="D56" s="66">
        <f t="shared" si="22"/>
        <v>-831950000</v>
      </c>
      <c r="E56" s="66">
        <f t="shared" si="22"/>
        <v>920850000</v>
      </c>
      <c r="F56" s="66">
        <f t="shared" si="22"/>
        <v>2295000000</v>
      </c>
      <c r="G56" s="66">
        <f t="shared" si="22"/>
        <v>3466380000</v>
      </c>
      <c r="H56" s="66">
        <f t="shared" si="22"/>
        <v>4765800000</v>
      </c>
      <c r="I56" s="66">
        <f t="shared" si="22"/>
        <v>5090025000</v>
      </c>
      <c r="J56" s="66">
        <f t="shared" si="22"/>
        <v>5408850000</v>
      </c>
      <c r="K56" s="66">
        <f t="shared" si="22"/>
        <v>5727675000</v>
      </c>
      <c r="L56" s="8"/>
      <c r="M56" s="8"/>
      <c r="N56" s="8"/>
      <c r="O56" s="8"/>
      <c r="AE56" s="106">
        <v>48944.25</v>
      </c>
      <c r="AF56" s="67">
        <v>300000000</v>
      </c>
      <c r="AG56" s="107"/>
      <c r="AH56" s="107"/>
      <c r="AI56" s="107"/>
      <c r="AJ56" s="107"/>
      <c r="AK56" s="107"/>
      <c r="AL56" s="107"/>
      <c r="AM56" s="107"/>
      <c r="AN56" s="107"/>
      <c r="AO56" s="107"/>
      <c r="AP56" s="107"/>
      <c r="AQ56" s="107"/>
      <c r="AR56" s="107"/>
      <c r="AS56" s="107">
        <f t="shared" si="10"/>
        <v>15000000</v>
      </c>
      <c r="AT56" s="107">
        <f t="shared" ref="AT56:AZ63" si="23">$AF56/20</f>
        <v>15000000</v>
      </c>
      <c r="AU56" s="107">
        <f t="shared" si="23"/>
        <v>15000000</v>
      </c>
      <c r="AV56" s="107">
        <f t="shared" si="23"/>
        <v>15000000</v>
      </c>
      <c r="AW56" s="107">
        <f t="shared" si="23"/>
        <v>15000000</v>
      </c>
      <c r="AX56" s="107">
        <f t="shared" si="23"/>
        <v>15000000</v>
      </c>
      <c r="AY56" s="107">
        <f t="shared" si="23"/>
        <v>15000000</v>
      </c>
      <c r="AZ56" s="107">
        <f t="shared" si="23"/>
        <v>15000000</v>
      </c>
      <c r="BA56" s="107">
        <f t="shared" si="11"/>
        <v>120000000</v>
      </c>
    </row>
    <row r="57" spans="2:53">
      <c r="C57" s="8"/>
      <c r="D57" s="8"/>
      <c r="E57" s="8"/>
      <c r="F57" s="8"/>
      <c r="G57" s="8"/>
      <c r="H57" s="8"/>
      <c r="I57" s="8"/>
      <c r="J57" s="8"/>
      <c r="K57" s="8"/>
      <c r="L57" s="8"/>
      <c r="M57" s="8"/>
      <c r="N57" s="8"/>
      <c r="O57" s="8"/>
      <c r="AE57" s="106">
        <v>49309.5</v>
      </c>
      <c r="AF57" s="67">
        <v>300000000</v>
      </c>
      <c r="AG57" s="107"/>
      <c r="AH57" s="107"/>
      <c r="AI57" s="107"/>
      <c r="AJ57" s="107"/>
      <c r="AK57" s="107"/>
      <c r="AL57" s="107"/>
      <c r="AM57" s="107"/>
      <c r="AN57" s="107"/>
      <c r="AO57" s="107"/>
      <c r="AP57" s="107"/>
      <c r="AQ57" s="107"/>
      <c r="AR57" s="107"/>
      <c r="AS57" s="107"/>
      <c r="AT57" s="107">
        <f t="shared" si="23"/>
        <v>15000000</v>
      </c>
      <c r="AU57" s="107">
        <f t="shared" ref="AU57:AV59" si="24">$AF57/20</f>
        <v>15000000</v>
      </c>
      <c r="AV57" s="107">
        <f t="shared" si="24"/>
        <v>15000000</v>
      </c>
      <c r="AW57" s="107">
        <f t="shared" si="23"/>
        <v>15000000</v>
      </c>
      <c r="AX57" s="107">
        <f t="shared" si="23"/>
        <v>15000000</v>
      </c>
      <c r="AY57" s="107">
        <f t="shared" si="23"/>
        <v>15000000</v>
      </c>
      <c r="AZ57" s="107">
        <f t="shared" si="23"/>
        <v>15000000</v>
      </c>
      <c r="BA57" s="107">
        <f t="shared" si="11"/>
        <v>105000000</v>
      </c>
    </row>
    <row r="58" spans="2:53" s="1" customFormat="1">
      <c r="B58" s="1" t="s">
        <v>17</v>
      </c>
      <c r="C58" s="65">
        <f t="shared" ref="C58:K58" si="25">+C47*C$16</f>
        <v>0</v>
      </c>
      <c r="D58" s="65">
        <f t="shared" si="25"/>
        <v>0</v>
      </c>
      <c r="E58" s="65">
        <f t="shared" si="25"/>
        <v>1620000000</v>
      </c>
      <c r="F58" s="65">
        <f t="shared" si="25"/>
        <v>2821875000</v>
      </c>
      <c r="G58" s="65">
        <f t="shared" si="25"/>
        <v>2887500000</v>
      </c>
      <c r="H58" s="65">
        <f t="shared" si="25"/>
        <v>3080000000</v>
      </c>
      <c r="I58" s="65">
        <f t="shared" si="25"/>
        <v>2454375000</v>
      </c>
      <c r="J58" s="65">
        <f t="shared" si="25"/>
        <v>2598750000</v>
      </c>
      <c r="K58" s="65">
        <f t="shared" si="25"/>
        <v>2743125000</v>
      </c>
      <c r="L58" s="8"/>
      <c r="M58" s="8"/>
      <c r="N58" s="8"/>
      <c r="O58" s="8"/>
      <c r="P58" s="6"/>
      <c r="AE58" s="106">
        <v>49674.75</v>
      </c>
      <c r="AF58" s="67">
        <v>300000000</v>
      </c>
      <c r="AG58" s="107"/>
      <c r="AH58" s="107"/>
      <c r="AI58" s="107"/>
      <c r="AJ58" s="107"/>
      <c r="AK58" s="107"/>
      <c r="AL58" s="107"/>
      <c r="AM58" s="107"/>
      <c r="AN58" s="107"/>
      <c r="AO58" s="107"/>
      <c r="AP58" s="107"/>
      <c r="AQ58" s="107"/>
      <c r="AR58" s="107"/>
      <c r="AS58" s="107"/>
      <c r="AT58" s="107"/>
      <c r="AU58" s="107">
        <f t="shared" si="24"/>
        <v>15000000</v>
      </c>
      <c r="AV58" s="107">
        <f t="shared" si="24"/>
        <v>15000000</v>
      </c>
      <c r="AW58" s="107">
        <f t="shared" si="23"/>
        <v>15000000</v>
      </c>
      <c r="AX58" s="107">
        <f t="shared" si="23"/>
        <v>15000000</v>
      </c>
      <c r="AY58" s="107">
        <f t="shared" si="23"/>
        <v>15000000</v>
      </c>
      <c r="AZ58" s="107">
        <f t="shared" si="23"/>
        <v>15000000</v>
      </c>
      <c r="BA58" s="107">
        <f t="shared" si="11"/>
        <v>90000000</v>
      </c>
    </row>
    <row r="59" spans="2:53" s="1" customFormat="1">
      <c r="C59" s="8"/>
      <c r="E59" s="8"/>
      <c r="F59" s="8"/>
      <c r="G59" s="8"/>
      <c r="H59" s="8"/>
      <c r="I59" s="8"/>
      <c r="J59" s="8"/>
      <c r="K59" s="8"/>
      <c r="L59" s="8"/>
      <c r="M59" s="8"/>
      <c r="N59" s="8"/>
      <c r="O59" s="8"/>
      <c r="P59" s="6"/>
      <c r="Y59" s="80"/>
      <c r="Z59" s="80"/>
      <c r="AA59" s="80"/>
      <c r="AE59" s="106">
        <v>50040</v>
      </c>
      <c r="AF59" s="67">
        <v>300000000</v>
      </c>
      <c r="AG59" s="107"/>
      <c r="AH59" s="107"/>
      <c r="AI59" s="107"/>
      <c r="AJ59" s="107"/>
      <c r="AK59" s="107"/>
      <c r="AL59" s="107"/>
      <c r="AM59" s="107"/>
      <c r="AN59" s="107"/>
      <c r="AO59" s="107"/>
      <c r="AP59" s="107"/>
      <c r="AQ59" s="107"/>
      <c r="AR59" s="107"/>
      <c r="AS59" s="107"/>
      <c r="AT59" s="107"/>
      <c r="AU59" s="107"/>
      <c r="AV59" s="107">
        <f t="shared" si="24"/>
        <v>15000000</v>
      </c>
      <c r="AW59" s="107">
        <f t="shared" si="23"/>
        <v>15000000</v>
      </c>
      <c r="AX59" s="107">
        <f t="shared" si="23"/>
        <v>15000000</v>
      </c>
      <c r="AY59" s="107">
        <f t="shared" si="23"/>
        <v>15000000</v>
      </c>
      <c r="AZ59" s="107">
        <f t="shared" si="23"/>
        <v>15000000</v>
      </c>
      <c r="BA59" s="107">
        <f t="shared" si="11"/>
        <v>75000000</v>
      </c>
    </row>
    <row r="60" spans="2:53" s="1" customFormat="1">
      <c r="C60" s="30">
        <v>0</v>
      </c>
      <c r="D60" s="30">
        <f>+C60+1</f>
        <v>1</v>
      </c>
      <c r="E60" s="30">
        <f t="shared" ref="E60:P60" si="26">+D60+1</f>
        <v>2</v>
      </c>
      <c r="F60" s="30">
        <f t="shared" si="26"/>
        <v>3</v>
      </c>
      <c r="G60" s="30">
        <f t="shared" si="26"/>
        <v>4</v>
      </c>
      <c r="H60" s="30">
        <f t="shared" si="26"/>
        <v>5</v>
      </c>
      <c r="I60" s="30">
        <f t="shared" si="26"/>
        <v>6</v>
      </c>
      <c r="J60" s="30">
        <f t="shared" si="26"/>
        <v>7</v>
      </c>
      <c r="K60" s="30">
        <f t="shared" si="26"/>
        <v>8</v>
      </c>
      <c r="L60" s="30">
        <f t="shared" si="26"/>
        <v>9</v>
      </c>
      <c r="M60" s="30">
        <f t="shared" si="26"/>
        <v>10</v>
      </c>
      <c r="N60" s="30">
        <f t="shared" si="26"/>
        <v>11</v>
      </c>
      <c r="O60" s="30">
        <f t="shared" si="26"/>
        <v>12</v>
      </c>
      <c r="P60" s="30">
        <f t="shared" si="26"/>
        <v>13</v>
      </c>
      <c r="Q60" s="30">
        <f t="shared" ref="Q60" si="27">+P60+1</f>
        <v>14</v>
      </c>
      <c r="R60" s="30">
        <f t="shared" ref="R60" si="28">+Q60+1</f>
        <v>15</v>
      </c>
      <c r="S60" s="30">
        <f t="shared" ref="S60" si="29">+R60+1</f>
        <v>16</v>
      </c>
      <c r="T60" s="30">
        <f t="shared" ref="T60" si="30">+S60+1</f>
        <v>17</v>
      </c>
      <c r="U60" s="30">
        <f t="shared" ref="U60" si="31">+T60+1</f>
        <v>18</v>
      </c>
      <c r="V60" s="30">
        <f t="shared" ref="V60" si="32">+U60+1</f>
        <v>19</v>
      </c>
      <c r="W60" s="30">
        <f t="shared" ref="W60" si="33">+V60+1</f>
        <v>20</v>
      </c>
      <c r="X60" s="30">
        <f>+W60+1</f>
        <v>21</v>
      </c>
      <c r="Y60" s="148"/>
      <c r="Z60" s="148"/>
      <c r="AA60" s="148"/>
      <c r="AB60" s="1">
        <v>21</v>
      </c>
      <c r="AE60" s="106">
        <v>50405.25</v>
      </c>
      <c r="AF60" s="67">
        <v>300000000</v>
      </c>
      <c r="AG60" s="107"/>
      <c r="AH60" s="107"/>
      <c r="AI60" s="107"/>
      <c r="AJ60" s="107"/>
      <c r="AK60" s="107"/>
      <c r="AL60" s="107"/>
      <c r="AM60" s="107"/>
      <c r="AN60" s="107"/>
      <c r="AO60" s="107"/>
      <c r="AP60" s="107"/>
      <c r="AQ60" s="107"/>
      <c r="AR60" s="107"/>
      <c r="AS60" s="107"/>
      <c r="AT60" s="107"/>
      <c r="AU60" s="107"/>
      <c r="AV60" s="107"/>
      <c r="AW60" s="107">
        <f t="shared" si="23"/>
        <v>15000000</v>
      </c>
      <c r="AX60" s="107">
        <f t="shared" si="23"/>
        <v>15000000</v>
      </c>
      <c r="AY60" s="107">
        <f t="shared" si="23"/>
        <v>15000000</v>
      </c>
      <c r="AZ60" s="107">
        <f t="shared" si="23"/>
        <v>15000000</v>
      </c>
      <c r="BA60" s="107">
        <f t="shared" si="11"/>
        <v>60000000</v>
      </c>
    </row>
    <row r="61" spans="2:53" s="1" customFormat="1">
      <c r="B61" s="15"/>
      <c r="C61" s="64">
        <f t="shared" ref="C61:K61" si="34">+C2</f>
        <v>44197</v>
      </c>
      <c r="D61" s="64">
        <f t="shared" si="34"/>
        <v>44561</v>
      </c>
      <c r="E61" s="64">
        <f t="shared" si="34"/>
        <v>44926</v>
      </c>
      <c r="F61" s="64">
        <f t="shared" si="34"/>
        <v>45291</v>
      </c>
      <c r="G61" s="64">
        <f t="shared" si="34"/>
        <v>45657</v>
      </c>
      <c r="H61" s="64">
        <f t="shared" si="34"/>
        <v>46022</v>
      </c>
      <c r="I61" s="64">
        <f t="shared" si="34"/>
        <v>46387</v>
      </c>
      <c r="J61" s="64">
        <f t="shared" si="34"/>
        <v>46752</v>
      </c>
      <c r="K61" s="64">
        <f t="shared" si="34"/>
        <v>47118</v>
      </c>
      <c r="L61" s="64">
        <f>K61+365.25</f>
        <v>47483.25</v>
      </c>
      <c r="M61" s="64">
        <f t="shared" ref="M61:W61" si="35">L61+365.25</f>
        <v>47848.5</v>
      </c>
      <c r="N61" s="64">
        <f t="shared" si="35"/>
        <v>48213.75</v>
      </c>
      <c r="O61" s="64">
        <f t="shared" si="35"/>
        <v>48579</v>
      </c>
      <c r="P61" s="64">
        <f t="shared" si="35"/>
        <v>48944.25</v>
      </c>
      <c r="Q61" s="64">
        <f t="shared" si="35"/>
        <v>49309.5</v>
      </c>
      <c r="R61" s="64">
        <f t="shared" si="35"/>
        <v>49674.75</v>
      </c>
      <c r="S61" s="64">
        <f t="shared" si="35"/>
        <v>50040</v>
      </c>
      <c r="T61" s="64">
        <f t="shared" si="35"/>
        <v>50405.25</v>
      </c>
      <c r="U61" s="64">
        <f t="shared" si="35"/>
        <v>50770.5</v>
      </c>
      <c r="V61" s="64">
        <f t="shared" si="35"/>
        <v>51135.75</v>
      </c>
      <c r="W61" s="64">
        <f t="shared" si="35"/>
        <v>51501</v>
      </c>
      <c r="X61" s="64">
        <f>W61+365.25</f>
        <v>51866.25</v>
      </c>
      <c r="Y61" s="101"/>
      <c r="Z61" s="165" t="s">
        <v>138</v>
      </c>
      <c r="AA61" s="166"/>
      <c r="AB61" s="167">
        <v>51866</v>
      </c>
      <c r="AE61" s="106">
        <v>50770.5</v>
      </c>
      <c r="AF61" s="67">
        <v>300000000</v>
      </c>
      <c r="AG61" s="107"/>
      <c r="AH61" s="107"/>
      <c r="AI61" s="107"/>
      <c r="AJ61" s="107"/>
      <c r="AK61" s="107"/>
      <c r="AL61" s="107"/>
      <c r="AM61" s="107"/>
      <c r="AN61" s="107"/>
      <c r="AO61" s="107"/>
      <c r="AP61" s="107"/>
      <c r="AQ61" s="107"/>
      <c r="AR61" s="107"/>
      <c r="AS61" s="107"/>
      <c r="AT61" s="107"/>
      <c r="AU61" s="107"/>
      <c r="AV61" s="107"/>
      <c r="AW61" s="107"/>
      <c r="AX61" s="107">
        <f t="shared" si="23"/>
        <v>15000000</v>
      </c>
      <c r="AY61" s="107">
        <f t="shared" si="23"/>
        <v>15000000</v>
      </c>
      <c r="AZ61" s="107">
        <f t="shared" si="23"/>
        <v>15000000</v>
      </c>
      <c r="BA61" s="107">
        <f t="shared" si="11"/>
        <v>45000000</v>
      </c>
    </row>
    <row r="62" spans="2:53">
      <c r="B62" t="s">
        <v>16</v>
      </c>
      <c r="C62" s="65">
        <f t="shared" ref="C62:K62" si="36">+C56*(1-tax)</f>
        <v>0</v>
      </c>
      <c r="D62" s="65">
        <f t="shared" si="36"/>
        <v>-657240500</v>
      </c>
      <c r="E62" s="65">
        <f t="shared" si="36"/>
        <v>727471500</v>
      </c>
      <c r="F62" s="65">
        <f t="shared" si="36"/>
        <v>1813050000</v>
      </c>
      <c r="G62" s="65">
        <f t="shared" si="36"/>
        <v>2738440200</v>
      </c>
      <c r="H62" s="65">
        <f t="shared" si="36"/>
        <v>3764982000</v>
      </c>
      <c r="I62" s="65">
        <f t="shared" si="36"/>
        <v>4021119750</v>
      </c>
      <c r="J62" s="65">
        <f t="shared" si="36"/>
        <v>4272991500</v>
      </c>
      <c r="K62" s="65">
        <f t="shared" si="36"/>
        <v>4524863250</v>
      </c>
      <c r="L62" s="8"/>
      <c r="M62" s="8"/>
      <c r="N62" s="8"/>
      <c r="O62" s="8"/>
      <c r="P62" s="8"/>
      <c r="Y62" s="80"/>
      <c r="Z62" s="162" t="s">
        <v>144</v>
      </c>
      <c r="AA62" s="162"/>
      <c r="AB62" s="162"/>
      <c r="AE62" s="106">
        <v>51135.75</v>
      </c>
      <c r="AF62" s="67">
        <v>300000000</v>
      </c>
      <c r="AG62" s="107"/>
      <c r="AH62" s="107"/>
      <c r="AI62" s="107"/>
      <c r="AJ62" s="107"/>
      <c r="AK62" s="107"/>
      <c r="AL62" s="107"/>
      <c r="AM62" s="107"/>
      <c r="AN62" s="107"/>
      <c r="AO62" s="107"/>
      <c r="AP62" s="107"/>
      <c r="AQ62" s="107"/>
      <c r="AR62" s="107"/>
      <c r="AS62" s="107"/>
      <c r="AT62" s="107"/>
      <c r="AU62" s="107"/>
      <c r="AV62" s="107"/>
      <c r="AW62" s="107"/>
      <c r="AX62" s="107"/>
      <c r="AY62" s="107">
        <f t="shared" si="23"/>
        <v>15000000</v>
      </c>
      <c r="AZ62" s="107">
        <f t="shared" si="23"/>
        <v>15000000</v>
      </c>
      <c r="BA62" s="107">
        <f t="shared" si="11"/>
        <v>30000000</v>
      </c>
    </row>
    <row r="63" spans="2:53" s="1" customFormat="1">
      <c r="C63" s="65"/>
      <c r="D63" s="65"/>
      <c r="E63" s="65"/>
      <c r="F63" s="65"/>
      <c r="G63" s="65"/>
      <c r="H63" s="65"/>
      <c r="I63" s="65"/>
      <c r="J63" s="65"/>
      <c r="K63" s="65"/>
      <c r="L63" s="168" t="s">
        <v>142</v>
      </c>
      <c r="M63" s="161"/>
      <c r="N63" s="161"/>
      <c r="O63" s="161"/>
      <c r="P63" s="161"/>
      <c r="Y63" s="80"/>
      <c r="Z63" s="162"/>
      <c r="AA63" s="162"/>
      <c r="AB63" s="162"/>
      <c r="AE63" s="106">
        <v>51501</v>
      </c>
      <c r="AF63" s="67">
        <v>300000000</v>
      </c>
      <c r="AG63" s="107"/>
      <c r="AH63" s="107"/>
      <c r="AI63" s="107"/>
      <c r="AJ63" s="107"/>
      <c r="AK63" s="107"/>
      <c r="AL63" s="107"/>
      <c r="AM63" s="107"/>
      <c r="AN63" s="107"/>
      <c r="AO63" s="107"/>
      <c r="AP63" s="107"/>
      <c r="AQ63" s="107"/>
      <c r="AR63" s="107"/>
      <c r="AS63" s="107"/>
      <c r="AT63" s="107"/>
      <c r="AU63" s="107"/>
      <c r="AV63" s="107"/>
      <c r="AW63" s="107"/>
      <c r="AX63" s="107"/>
      <c r="AY63" s="107"/>
      <c r="AZ63" s="107">
        <f t="shared" si="23"/>
        <v>15000000</v>
      </c>
      <c r="BA63" s="107">
        <f t="shared" si="11"/>
        <v>15000000</v>
      </c>
    </row>
    <row r="64" spans="2:53">
      <c r="B64" t="s">
        <v>13</v>
      </c>
      <c r="C64" s="65">
        <f t="shared" ref="C64:K64" si="37">C55</f>
        <v>0</v>
      </c>
      <c r="D64" s="65">
        <f t="shared" si="37"/>
        <v>350000000</v>
      </c>
      <c r="E64" s="65">
        <f t="shared" si="37"/>
        <v>525000000</v>
      </c>
      <c r="F64" s="65">
        <f t="shared" si="37"/>
        <v>540000000</v>
      </c>
      <c r="G64" s="65">
        <f t="shared" si="37"/>
        <v>555000000</v>
      </c>
      <c r="H64" s="65">
        <f t="shared" si="37"/>
        <v>570000000</v>
      </c>
      <c r="I64" s="65">
        <f t="shared" si="37"/>
        <v>585000000</v>
      </c>
      <c r="J64" s="65">
        <f t="shared" si="37"/>
        <v>600000000</v>
      </c>
      <c r="K64" s="65">
        <f t="shared" si="37"/>
        <v>615000000</v>
      </c>
      <c r="L64" s="160">
        <f>$K$64</f>
        <v>615000000</v>
      </c>
      <c r="M64" s="160">
        <f t="shared" ref="M64:W64" si="38">$K$64</f>
        <v>615000000</v>
      </c>
      <c r="N64" s="160">
        <f t="shared" si="38"/>
        <v>615000000</v>
      </c>
      <c r="O64" s="160">
        <f t="shared" si="38"/>
        <v>615000000</v>
      </c>
      <c r="P64" s="160">
        <f t="shared" si="38"/>
        <v>615000000</v>
      </c>
      <c r="Q64" s="160">
        <f t="shared" si="38"/>
        <v>615000000</v>
      </c>
      <c r="R64" s="160">
        <f t="shared" si="38"/>
        <v>615000000</v>
      </c>
      <c r="S64" s="160">
        <f t="shared" si="38"/>
        <v>615000000</v>
      </c>
      <c r="T64" s="160">
        <f t="shared" si="38"/>
        <v>615000000</v>
      </c>
      <c r="U64" s="160">
        <f t="shared" si="38"/>
        <v>615000000</v>
      </c>
      <c r="V64" s="160">
        <f t="shared" si="38"/>
        <v>615000000</v>
      </c>
      <c r="W64" s="160">
        <f t="shared" si="38"/>
        <v>615000000</v>
      </c>
      <c r="Y64" s="80"/>
      <c r="Z64" s="162" t="s">
        <v>139</v>
      </c>
      <c r="AA64" s="163">
        <f>SUM(C13:K13)</f>
        <v>12300000000</v>
      </c>
      <c r="AB64" s="162"/>
      <c r="AF64" s="100">
        <f t="shared" ref="AF64:BA64" si="39">SUM(AF43:AF63)</f>
        <v>15900000000</v>
      </c>
      <c r="AG64" s="100">
        <f t="shared" si="39"/>
        <v>350000000</v>
      </c>
      <c r="AH64" s="100">
        <f t="shared" si="39"/>
        <v>525000000</v>
      </c>
      <c r="AI64" s="100">
        <f t="shared" si="39"/>
        <v>540000000</v>
      </c>
      <c r="AJ64" s="100">
        <f t="shared" si="39"/>
        <v>555000000</v>
      </c>
      <c r="AK64" s="100">
        <f t="shared" si="39"/>
        <v>570000000</v>
      </c>
      <c r="AL64" s="100">
        <f t="shared" si="39"/>
        <v>585000000</v>
      </c>
      <c r="AM64" s="100">
        <f t="shared" si="39"/>
        <v>600000000</v>
      </c>
      <c r="AN64" s="100">
        <f t="shared" si="39"/>
        <v>615000000</v>
      </c>
      <c r="AO64" s="100">
        <f t="shared" si="39"/>
        <v>630000000</v>
      </c>
      <c r="AP64" s="100">
        <f t="shared" si="39"/>
        <v>645000000</v>
      </c>
      <c r="AQ64" s="100">
        <f t="shared" si="39"/>
        <v>660000000</v>
      </c>
      <c r="AR64" s="100">
        <f t="shared" si="39"/>
        <v>675000000</v>
      </c>
      <c r="AS64" s="100">
        <f t="shared" si="39"/>
        <v>690000000</v>
      </c>
      <c r="AT64" s="100">
        <f t="shared" si="39"/>
        <v>705000000</v>
      </c>
      <c r="AU64" s="100">
        <f t="shared" si="39"/>
        <v>720000000</v>
      </c>
      <c r="AV64" s="100">
        <f t="shared" si="39"/>
        <v>735000000</v>
      </c>
      <c r="AW64" s="100">
        <f t="shared" si="39"/>
        <v>750000000</v>
      </c>
      <c r="AX64" s="100">
        <f t="shared" si="39"/>
        <v>765000000</v>
      </c>
      <c r="AY64" s="100">
        <f t="shared" si="39"/>
        <v>780000000</v>
      </c>
      <c r="AZ64" s="100">
        <f t="shared" si="39"/>
        <v>795000000</v>
      </c>
      <c r="BA64" s="100">
        <f t="shared" si="39"/>
        <v>12890000000</v>
      </c>
    </row>
    <row r="65" spans="1:53">
      <c r="B65" s="12" t="s">
        <v>19</v>
      </c>
      <c r="C65" s="65">
        <v>0</v>
      </c>
      <c r="D65" s="65">
        <f>+-D58+C58</f>
        <v>0</v>
      </c>
      <c r="E65" s="65">
        <f t="shared" ref="E65:K65" si="40">+E58-D58</f>
        <v>1620000000</v>
      </c>
      <c r="F65" s="65">
        <f t="shared" si="40"/>
        <v>1201875000</v>
      </c>
      <c r="G65" s="65">
        <f t="shared" si="40"/>
        <v>65625000</v>
      </c>
      <c r="H65" s="65">
        <f t="shared" si="40"/>
        <v>192500000</v>
      </c>
      <c r="I65" s="65">
        <f t="shared" si="40"/>
        <v>-625625000</v>
      </c>
      <c r="J65" s="65">
        <f t="shared" si="40"/>
        <v>144375000</v>
      </c>
      <c r="K65" s="65">
        <f t="shared" si="40"/>
        <v>144375000</v>
      </c>
      <c r="L65" s="8"/>
      <c r="M65" s="8"/>
      <c r="N65" s="8"/>
      <c r="O65" s="8"/>
      <c r="P65" s="8"/>
      <c r="Y65" s="80"/>
      <c r="Z65" s="162" t="s">
        <v>140</v>
      </c>
      <c r="AA65" s="163">
        <f>SUM(D64:W64)</f>
        <v>11720000000</v>
      </c>
      <c r="AB65" s="162"/>
    </row>
    <row r="66" spans="1:53">
      <c r="B66" t="s">
        <v>20</v>
      </c>
      <c r="C66" s="65">
        <f t="shared" ref="C66:K66" si="41">+C13</f>
        <v>3000000000</v>
      </c>
      <c r="D66" s="65">
        <f t="shared" si="41"/>
        <v>4000000000</v>
      </c>
      <c r="E66" s="65">
        <f t="shared" si="41"/>
        <v>3500000000</v>
      </c>
      <c r="F66" s="65">
        <f t="shared" si="41"/>
        <v>300000000</v>
      </c>
      <c r="G66" s="65">
        <f t="shared" si="41"/>
        <v>300000000</v>
      </c>
      <c r="H66" s="65">
        <f t="shared" si="41"/>
        <v>300000000</v>
      </c>
      <c r="I66" s="65">
        <f t="shared" si="41"/>
        <v>300000000</v>
      </c>
      <c r="J66" s="65">
        <f t="shared" si="41"/>
        <v>300000000</v>
      </c>
      <c r="K66" s="65">
        <f t="shared" si="41"/>
        <v>300000000</v>
      </c>
      <c r="L66" s="8"/>
      <c r="M66" s="8"/>
      <c r="N66" s="8"/>
      <c r="O66" s="8"/>
      <c r="P66" s="8"/>
      <c r="X66" s="100">
        <f>-BA66</f>
        <v>-3010000000</v>
      </c>
      <c r="Y66" s="149"/>
      <c r="Z66" s="162" t="s">
        <v>141</v>
      </c>
      <c r="AA66" s="163">
        <f>+AA64-AA65</f>
        <v>580000000</v>
      </c>
      <c r="AB66" s="163">
        <v>-580000000</v>
      </c>
      <c r="AC66" s="100"/>
      <c r="AE66" s="1"/>
      <c r="AF66" t="s">
        <v>116</v>
      </c>
      <c r="AG66" s="1"/>
      <c r="AH66" s="1"/>
      <c r="AI66" s="1"/>
      <c r="AJ66" s="1"/>
      <c r="AK66" s="1"/>
      <c r="AL66" s="1"/>
      <c r="AM66" s="1"/>
      <c r="AN66" s="1"/>
      <c r="AO66" s="1"/>
      <c r="AP66" s="1"/>
      <c r="AQ66" s="1"/>
      <c r="AR66" s="1"/>
      <c r="AS66" s="1"/>
      <c r="AT66" s="1"/>
      <c r="AU66" s="1"/>
      <c r="AV66" s="1"/>
      <c r="AW66" s="1"/>
      <c r="AX66" s="1"/>
      <c r="AY66" s="1"/>
      <c r="AZ66" s="1" t="s">
        <v>83</v>
      </c>
      <c r="BA66" s="100">
        <f>AF64-BA64</f>
        <v>3010000000</v>
      </c>
    </row>
    <row r="67" spans="1:53" s="1" customFormat="1">
      <c r="C67" s="8"/>
      <c r="D67" s="8"/>
      <c r="E67" s="8"/>
      <c r="F67" s="8"/>
      <c r="G67" s="8"/>
      <c r="H67" s="8"/>
      <c r="I67" s="8"/>
      <c r="J67" s="8"/>
      <c r="K67" s="8"/>
      <c r="L67" s="8"/>
      <c r="M67" s="8"/>
      <c r="N67" s="8"/>
      <c r="O67" s="8"/>
      <c r="P67" s="8"/>
      <c r="Y67" s="80"/>
      <c r="Z67" s="162"/>
      <c r="AA67" s="162"/>
      <c r="AB67" s="162"/>
      <c r="AE67"/>
      <c r="AF67" s="1" t="s">
        <v>117</v>
      </c>
      <c r="AG67"/>
      <c r="AH67"/>
      <c r="AI67"/>
      <c r="AJ67"/>
      <c r="AK67"/>
      <c r="AL67"/>
      <c r="AM67"/>
      <c r="AN67"/>
      <c r="AO67"/>
      <c r="AP67"/>
      <c r="AQ67"/>
      <c r="AR67"/>
      <c r="AS67"/>
      <c r="AT67"/>
      <c r="AU67"/>
      <c r="AV67"/>
      <c r="AW67"/>
      <c r="AX67"/>
      <c r="AY67"/>
      <c r="AZ67"/>
      <c r="BA67"/>
    </row>
    <row r="68" spans="1:53">
      <c r="B68" s="33" t="s">
        <v>21</v>
      </c>
      <c r="C68" s="71">
        <f>C62+C64-C65-C66</f>
        <v>-3000000000</v>
      </c>
      <c r="D68" s="71">
        <f t="shared" ref="D68:K68" si="42">D62+D64-D65-D66</f>
        <v>-4307240500</v>
      </c>
      <c r="E68" s="71">
        <f>E62+E64-E65-E66</f>
        <v>-3867528500</v>
      </c>
      <c r="F68" s="71">
        <f t="shared" si="42"/>
        <v>851175000</v>
      </c>
      <c r="G68" s="71">
        <f t="shared" si="42"/>
        <v>2927815200</v>
      </c>
      <c r="H68" s="71">
        <f t="shared" si="42"/>
        <v>3842482000</v>
      </c>
      <c r="I68" s="71">
        <f t="shared" si="42"/>
        <v>4931744750</v>
      </c>
      <c r="J68" s="71">
        <f t="shared" si="42"/>
        <v>4428616500</v>
      </c>
      <c r="K68" s="71">
        <f t="shared" si="42"/>
        <v>4695488250</v>
      </c>
      <c r="L68" s="71">
        <f>K68*(1+$C$43)</f>
        <v>4836352897.5</v>
      </c>
      <c r="M68" s="71">
        <f>L68*(1+$C$43)</f>
        <v>4981443484.4250002</v>
      </c>
      <c r="N68" s="71">
        <f t="shared" ref="N68:W68" si="43">M68*(1+$C$43)</f>
        <v>5130886788.9577503</v>
      </c>
      <c r="O68" s="71">
        <f t="shared" si="43"/>
        <v>5284813392.626483</v>
      </c>
      <c r="P68" s="71">
        <f t="shared" si="43"/>
        <v>5443357794.4052773</v>
      </c>
      <c r="Q68" s="71">
        <f t="shared" si="43"/>
        <v>5606658528.2374353</v>
      </c>
      <c r="R68" s="71">
        <f t="shared" si="43"/>
        <v>5774858284.0845585</v>
      </c>
      <c r="S68" s="71">
        <f t="shared" si="43"/>
        <v>5948104032.6070957</v>
      </c>
      <c r="T68" s="71">
        <f t="shared" si="43"/>
        <v>6126547153.585309</v>
      </c>
      <c r="U68" s="71">
        <f t="shared" si="43"/>
        <v>6310343568.1928682</v>
      </c>
      <c r="V68" s="71">
        <f t="shared" si="43"/>
        <v>6499653875.2386541</v>
      </c>
      <c r="W68" s="71">
        <f t="shared" si="43"/>
        <v>6694643491.4958143</v>
      </c>
      <c r="X68" s="71">
        <f>X62+X64-X65-X66</f>
        <v>3010000000</v>
      </c>
      <c r="Y68" s="139"/>
      <c r="Z68" s="164"/>
      <c r="AA68" s="164"/>
      <c r="AB68" s="164">
        <v>580000000</v>
      </c>
      <c r="AC68" s="139"/>
      <c r="AF68" s="1"/>
    </row>
    <row r="69" spans="1:53">
      <c r="C69" s="8"/>
      <c r="D69" s="8"/>
      <c r="E69" s="8"/>
      <c r="F69" s="8"/>
      <c r="G69" s="8"/>
      <c r="H69" s="8"/>
      <c r="I69" s="8"/>
      <c r="J69" s="8"/>
      <c r="K69" s="8"/>
      <c r="L69" s="8"/>
      <c r="M69" s="8"/>
      <c r="N69" s="8"/>
      <c r="O69" s="8"/>
      <c r="P69" s="8"/>
      <c r="Y69" s="80"/>
      <c r="Z69" s="162"/>
      <c r="AA69" s="162"/>
      <c r="AB69" s="162"/>
      <c r="AE69" s="1"/>
      <c r="AF69" s="1"/>
      <c r="AG69" s="1"/>
      <c r="AH69" s="1"/>
      <c r="AI69" s="1"/>
      <c r="AJ69" s="1"/>
      <c r="AK69" s="1"/>
      <c r="AL69" s="1"/>
      <c r="AM69" s="1"/>
      <c r="AN69" s="1"/>
      <c r="AO69" s="1"/>
      <c r="AP69" s="1"/>
      <c r="AQ69" s="1"/>
      <c r="AR69" s="1"/>
      <c r="AS69" s="1"/>
      <c r="AT69" s="1"/>
      <c r="AU69" s="1"/>
      <c r="AV69" s="1"/>
      <c r="AW69" s="1"/>
      <c r="AX69" s="1"/>
      <c r="AY69" s="1"/>
      <c r="AZ69" s="1"/>
      <c r="BA69" s="1"/>
    </row>
    <row r="70" spans="1:53" s="1" customFormat="1">
      <c r="B70" s="31" t="s">
        <v>26</v>
      </c>
      <c r="C70" s="65">
        <f>+C68</f>
        <v>-3000000000</v>
      </c>
      <c r="D70" s="65">
        <f>+D68+C70</f>
        <v>-7307240500</v>
      </c>
      <c r="E70" s="65">
        <f t="shared" ref="E70:O70" si="44">+E68+D70</f>
        <v>-11174769000</v>
      </c>
      <c r="F70" s="65">
        <f t="shared" si="44"/>
        <v>-10323594000</v>
      </c>
      <c r="G70" s="65">
        <f t="shared" si="44"/>
        <v>-7395778800</v>
      </c>
      <c r="H70" s="65">
        <f t="shared" si="44"/>
        <v>-3553296800</v>
      </c>
      <c r="I70" s="65">
        <f t="shared" si="44"/>
        <v>1378447950</v>
      </c>
      <c r="J70" s="65">
        <f t="shared" si="44"/>
        <v>5807064450</v>
      </c>
      <c r="K70" s="65">
        <f t="shared" si="44"/>
        <v>10502552700</v>
      </c>
      <c r="L70" s="65">
        <f>+L68+K70</f>
        <v>15338905597.5</v>
      </c>
      <c r="M70" s="65">
        <f t="shared" si="44"/>
        <v>20320349081.924999</v>
      </c>
      <c r="N70" s="65">
        <f t="shared" si="44"/>
        <v>25451235870.882751</v>
      </c>
      <c r="O70" s="65">
        <f t="shared" si="44"/>
        <v>30736049263.509235</v>
      </c>
      <c r="P70" s="65">
        <f>+P68+O70</f>
        <v>36179407057.914513</v>
      </c>
      <c r="Q70" s="65">
        <f t="shared" ref="Q70:W70" si="45">+Q68+P70</f>
        <v>41786065586.151947</v>
      </c>
      <c r="R70" s="65">
        <f t="shared" si="45"/>
        <v>47560923870.236504</v>
      </c>
      <c r="S70" s="65">
        <f t="shared" si="45"/>
        <v>53509027902.843597</v>
      </c>
      <c r="T70" s="65">
        <f t="shared" si="45"/>
        <v>59635575056.428909</v>
      </c>
      <c r="U70" s="65">
        <f t="shared" si="45"/>
        <v>65945918624.62178</v>
      </c>
      <c r="V70" s="65">
        <f t="shared" si="45"/>
        <v>72445572499.860428</v>
      </c>
      <c r="W70" s="65">
        <f t="shared" si="45"/>
        <v>79140215991.356247</v>
      </c>
      <c r="X70" s="65">
        <f>+X68+W70</f>
        <v>82150215991.356247</v>
      </c>
      <c r="Y70" s="150"/>
      <c r="Z70" s="160"/>
      <c r="AA70" s="160"/>
      <c r="AB70" s="160">
        <f>W70+AB68</f>
        <v>79720215991.356247</v>
      </c>
      <c r="AC70" s="65"/>
    </row>
    <row r="71" spans="1:53" s="1" customFormat="1" ht="15.75">
      <c r="B71" s="32"/>
      <c r="C71" s="65"/>
      <c r="D71" s="65"/>
      <c r="E71" s="65"/>
      <c r="F71" s="65"/>
      <c r="G71" s="65"/>
      <c r="H71" s="65"/>
      <c r="I71" s="65"/>
      <c r="J71" s="65"/>
      <c r="K71" s="65"/>
      <c r="L71" s="65"/>
      <c r="M71" s="65"/>
      <c r="N71" s="65"/>
      <c r="O71" s="65"/>
      <c r="P71" s="65"/>
      <c r="Y71" s="80"/>
      <c r="Z71" s="162"/>
      <c r="AA71" s="162"/>
      <c r="AB71" s="162"/>
    </row>
    <row r="72" spans="1:53" s="1" customFormat="1">
      <c r="B72" s="31" t="s">
        <v>25</v>
      </c>
      <c r="C72" s="65">
        <f>+C68/((1+wacc)^C60)</f>
        <v>-3000000000</v>
      </c>
      <c r="D72" s="65">
        <f>+D68/((1+wacc)^D60)</f>
        <v>-3831382761.0745416</v>
      </c>
      <c r="E72" s="65">
        <f>+E68/((1+wacc)^E60)</f>
        <v>-3060175690.0580044</v>
      </c>
      <c r="F72" s="65">
        <f t="shared" ref="F72:O72" si="46">+F68/((1+wacc)^F60)</f>
        <v>599084545.82047379</v>
      </c>
      <c r="G72" s="65">
        <f t="shared" si="46"/>
        <v>1833029005.9005306</v>
      </c>
      <c r="H72" s="65">
        <f t="shared" si="46"/>
        <v>2139902257.7460418</v>
      </c>
      <c r="I72" s="65">
        <f t="shared" si="46"/>
        <v>2443087969.9090838</v>
      </c>
      <c r="J72" s="65">
        <f t="shared" si="46"/>
        <v>1951475067.9084568</v>
      </c>
      <c r="K72" s="65">
        <f t="shared" si="46"/>
        <v>1840484271.7796962</v>
      </c>
      <c r="L72" s="65">
        <f>+L68/((1+wacc)^L60)</f>
        <v>1686264721.5202696</v>
      </c>
      <c r="M72" s="65">
        <f t="shared" si="46"/>
        <v>1544967677.6070783</v>
      </c>
      <c r="N72" s="65">
        <f t="shared" si="46"/>
        <v>1415510325.5072858</v>
      </c>
      <c r="O72" s="65">
        <f t="shared" si="46"/>
        <v>1296900582.8789396</v>
      </c>
      <c r="P72" s="65">
        <f t="shared" ref="P72:W72" si="47">+P68/((1+wacc)^P60)</f>
        <v>1188229496.8558154</v>
      </c>
      <c r="Q72" s="65">
        <f t="shared" si="47"/>
        <v>1088664278.3859541</v>
      </c>
      <c r="R72" s="65">
        <f t="shared" si="47"/>
        <v>997441920.24331331</v>
      </c>
      <c r="S72" s="65">
        <f t="shared" si="47"/>
        <v>913863349.8048501</v>
      </c>
      <c r="T72" s="65">
        <f t="shared" si="47"/>
        <v>837288071.78348649</v>
      </c>
      <c r="U72" s="65">
        <f t="shared" si="47"/>
        <v>767129259.8621161</v>
      </c>
      <c r="V72" s="65">
        <f t="shared" si="47"/>
        <v>702849259.61392963</v>
      </c>
      <c r="W72" s="65">
        <f t="shared" si="47"/>
        <v>643955468.24617279</v>
      </c>
      <c r="X72" s="65">
        <f t="shared" ref="X72" si="48">+X68/((1+wacc)^X60)</f>
        <v>257543916.3361741</v>
      </c>
      <c r="Y72" s="65"/>
      <c r="Z72" s="160"/>
      <c r="AA72" s="160"/>
      <c r="AB72" s="160">
        <f>+AB68/((1+wacc)^AB60)</f>
        <v>49626402.483382381</v>
      </c>
      <c r="AC72" s="65"/>
    </row>
    <row r="73" spans="1:53" s="1" customFormat="1">
      <c r="B73" s="31" t="s">
        <v>27</v>
      </c>
      <c r="C73" s="65">
        <f>+C72</f>
        <v>-3000000000</v>
      </c>
      <c r="D73" s="65">
        <f>+D72+C73</f>
        <v>-6831382761.0745411</v>
      </c>
      <c r="E73" s="65">
        <f>+E72+D73</f>
        <v>-9891558451.1325455</v>
      </c>
      <c r="F73" s="65">
        <f>+F72+E73</f>
        <v>-9292473905.3120708</v>
      </c>
      <c r="G73" s="65">
        <f>+G72+F73</f>
        <v>-7459444899.41154</v>
      </c>
      <c r="H73" s="65">
        <f>+H72+G73</f>
        <v>-5319542641.6654987</v>
      </c>
      <c r="I73" s="65">
        <f t="shared" ref="I73:O73" si="49">+I72+H73</f>
        <v>-2876454671.7564149</v>
      </c>
      <c r="J73" s="65">
        <f t="shared" si="49"/>
        <v>-924979603.84795809</v>
      </c>
      <c r="K73" s="65">
        <f t="shared" si="49"/>
        <v>915504667.93173814</v>
      </c>
      <c r="L73" s="65">
        <f t="shared" si="49"/>
        <v>2601769389.4520078</v>
      </c>
      <c r="M73" s="65">
        <f t="shared" si="49"/>
        <v>4146737067.0590858</v>
      </c>
      <c r="N73" s="65">
        <f t="shared" si="49"/>
        <v>5562247392.5663719</v>
      </c>
      <c r="O73" s="65">
        <f t="shared" si="49"/>
        <v>6859147975.4453115</v>
      </c>
      <c r="P73" s="65">
        <f>+P72+O73</f>
        <v>8047377472.3011265</v>
      </c>
      <c r="Q73" s="65">
        <f t="shared" ref="Q73:W73" si="50">+Q72+P73</f>
        <v>9136041750.6870804</v>
      </c>
      <c r="R73" s="65">
        <f t="shared" si="50"/>
        <v>10133483670.930393</v>
      </c>
      <c r="S73" s="65">
        <f t="shared" si="50"/>
        <v>11047347020.735243</v>
      </c>
      <c r="T73" s="65">
        <f t="shared" si="50"/>
        <v>11884635092.51873</v>
      </c>
      <c r="U73" s="65">
        <f t="shared" si="50"/>
        <v>12651764352.380846</v>
      </c>
      <c r="V73" s="65">
        <f t="shared" si="50"/>
        <v>13354613611.994776</v>
      </c>
      <c r="W73" s="65">
        <f t="shared" si="50"/>
        <v>13998569080.240948</v>
      </c>
      <c r="X73" s="65">
        <f>+X72+W73</f>
        <v>14256112996.577122</v>
      </c>
      <c r="Y73" s="65"/>
      <c r="Z73" s="160"/>
      <c r="AA73" s="160"/>
      <c r="AB73" s="160">
        <f>+W73+AB72</f>
        <v>14048195482.724331</v>
      </c>
      <c r="AC73" s="65"/>
    </row>
    <row r="74" spans="1:53" s="1" customFormat="1">
      <c r="C74" s="8"/>
      <c r="E74" s="8"/>
      <c r="F74" s="8"/>
      <c r="G74" s="8"/>
      <c r="H74" s="8"/>
      <c r="I74" s="8"/>
      <c r="J74" s="8"/>
      <c r="K74" s="8"/>
      <c r="L74" s="8"/>
      <c r="M74" s="8"/>
      <c r="N74" s="8"/>
      <c r="O74" s="8"/>
      <c r="P74" s="8"/>
    </row>
    <row r="75" spans="1:53" s="1" customFormat="1">
      <c r="A75" s="56" t="s">
        <v>39</v>
      </c>
      <c r="B75" s="33" t="s">
        <v>23</v>
      </c>
      <c r="C75" s="154">
        <f>+I60+I70/-I68</f>
        <v>5.7204948715158057</v>
      </c>
      <c r="D75" s="171">
        <f>H60+(-H70/I68)</f>
        <v>5.7204948715158057</v>
      </c>
      <c r="E75" s="35">
        <f>+C75</f>
        <v>5.7204948715158057</v>
      </c>
      <c r="F75" s="37" t="s">
        <v>81</v>
      </c>
      <c r="H75" s="8"/>
      <c r="I75" s="8"/>
      <c r="J75" s="8"/>
      <c r="K75" s="8"/>
      <c r="L75" s="8"/>
      <c r="M75" s="8"/>
      <c r="N75" s="8"/>
      <c r="O75" s="8"/>
      <c r="P75" s="8"/>
    </row>
    <row r="76" spans="1:53" s="1" customFormat="1">
      <c r="A76" s="56" t="s">
        <v>40</v>
      </c>
      <c r="B76" s="33" t="s">
        <v>24</v>
      </c>
      <c r="C76" s="154">
        <f>+K60+K73/-K72</f>
        <v>7.5025740333839037</v>
      </c>
      <c r="D76" s="171">
        <f>J60+(-J73/K72)</f>
        <v>7.5025740333839037</v>
      </c>
      <c r="E76" s="35">
        <f>+C76</f>
        <v>7.5025740333839037</v>
      </c>
      <c r="H76" s="8"/>
      <c r="I76" s="8"/>
      <c r="J76" s="8"/>
      <c r="K76" s="8"/>
      <c r="L76" s="8"/>
      <c r="M76" s="8"/>
      <c r="N76" s="8"/>
      <c r="O76" s="8"/>
      <c r="P76" s="8"/>
      <c r="AF76"/>
    </row>
    <row r="77" spans="1:53" s="1" customFormat="1">
      <c r="A77" s="56" t="s">
        <v>41</v>
      </c>
      <c r="B77" s="33" t="s">
        <v>65</v>
      </c>
      <c r="C77" s="72">
        <f>+NPV(wacc,D68:X68)+C68</f>
        <v>14256112996.577133</v>
      </c>
      <c r="D77" s="182">
        <f>SUM(C72:X72)</f>
        <v>14256112996.577122</v>
      </c>
      <c r="E77" s="72">
        <f>X73</f>
        <v>14256112996.577122</v>
      </c>
      <c r="F77" s="103"/>
      <c r="G77" s="77"/>
      <c r="H77" s="145"/>
      <c r="I77" s="145"/>
      <c r="J77" s="8"/>
      <c r="K77" s="8"/>
      <c r="L77" s="8"/>
      <c r="M77" s="8"/>
      <c r="N77" s="8"/>
      <c r="O77" s="8"/>
      <c r="P77" s="8"/>
    </row>
    <row r="78" spans="1:53" s="1" customFormat="1">
      <c r="A78" s="56" t="s">
        <v>42</v>
      </c>
      <c r="B78" s="33" t="s">
        <v>66</v>
      </c>
      <c r="C78" s="36">
        <f>+IRR(C68:X68)</f>
        <v>0.25655563150178717</v>
      </c>
      <c r="D78" s="36"/>
      <c r="E78" s="36"/>
      <c r="G78" s="77"/>
      <c r="H78" s="79"/>
      <c r="I78" s="79"/>
      <c r="J78" s="8"/>
      <c r="K78" s="8"/>
      <c r="L78" s="8"/>
      <c r="M78" s="8"/>
      <c r="N78" s="8"/>
      <c r="O78" s="8"/>
      <c r="P78" s="8"/>
      <c r="AE78"/>
      <c r="AG78"/>
      <c r="AH78"/>
      <c r="AI78"/>
      <c r="AJ78"/>
      <c r="AK78"/>
      <c r="AL78"/>
      <c r="AM78"/>
      <c r="AN78"/>
      <c r="AO78"/>
      <c r="AP78"/>
      <c r="AQ78"/>
      <c r="AR78"/>
      <c r="AS78"/>
      <c r="AT78"/>
      <c r="AU78"/>
      <c r="AV78"/>
      <c r="AW78"/>
      <c r="AX78"/>
      <c r="AY78"/>
      <c r="AZ78"/>
      <c r="BA78"/>
    </row>
    <row r="79" spans="1:53" s="1" customFormat="1">
      <c r="C79" s="8"/>
      <c r="D79" s="8"/>
      <c r="E79" s="8"/>
      <c r="F79" s="8"/>
      <c r="G79" s="8"/>
      <c r="H79" s="8"/>
      <c r="I79" s="8"/>
      <c r="J79" s="8"/>
      <c r="K79" s="8"/>
      <c r="L79" s="8"/>
      <c r="M79" s="8"/>
      <c r="N79" s="8"/>
      <c r="O79" s="8"/>
      <c r="P79" s="8"/>
      <c r="AE79"/>
      <c r="AF79"/>
      <c r="AG79"/>
      <c r="AH79"/>
      <c r="AI79"/>
      <c r="AJ79"/>
      <c r="AK79"/>
      <c r="AL79"/>
      <c r="AM79"/>
      <c r="AN79"/>
      <c r="AO79"/>
      <c r="AP79"/>
      <c r="AQ79"/>
      <c r="AR79"/>
      <c r="AS79"/>
      <c r="AT79"/>
      <c r="AU79"/>
      <c r="AV79"/>
      <c r="AW79"/>
      <c r="AX79"/>
      <c r="AY79"/>
      <c r="AZ79"/>
      <c r="BA79"/>
    </row>
    <row r="80" spans="1:53">
      <c r="B80" s="94" t="s">
        <v>63</v>
      </c>
      <c r="C80" s="30"/>
      <c r="D80" s="30"/>
      <c r="E80" s="30"/>
      <c r="F80" s="30"/>
      <c r="G80" s="30"/>
      <c r="H80" s="30"/>
      <c r="I80" s="30"/>
      <c r="J80" s="30"/>
      <c r="K80" s="30"/>
      <c r="L80" s="30"/>
      <c r="M80" s="30"/>
      <c r="N80" s="30"/>
      <c r="O80" s="30"/>
      <c r="P80" s="30"/>
    </row>
    <row r="81" spans="2:53">
      <c r="B81" s="15"/>
      <c r="C81" s="64">
        <f t="shared" ref="C81:K81" si="51">C46</f>
        <v>44197</v>
      </c>
      <c r="D81" s="64">
        <f t="shared" si="51"/>
        <v>44561</v>
      </c>
      <c r="E81" s="64">
        <f t="shared" si="51"/>
        <v>44926</v>
      </c>
      <c r="F81" s="64">
        <f t="shared" si="51"/>
        <v>45291</v>
      </c>
      <c r="G81" s="64">
        <f t="shared" si="51"/>
        <v>45657</v>
      </c>
      <c r="H81" s="64">
        <f t="shared" si="51"/>
        <v>46022</v>
      </c>
      <c r="I81" s="64">
        <f t="shared" si="51"/>
        <v>46387</v>
      </c>
      <c r="J81" s="64">
        <f t="shared" si="51"/>
        <v>46752</v>
      </c>
      <c r="K81" s="64">
        <f t="shared" si="51"/>
        <v>47118</v>
      </c>
      <c r="L81" s="73"/>
      <c r="M81" s="73"/>
      <c r="N81" s="73"/>
      <c r="O81" s="73"/>
      <c r="P81" s="73"/>
    </row>
    <row r="82" spans="2:53">
      <c r="B82" s="1" t="s">
        <v>11</v>
      </c>
      <c r="C82" s="8"/>
      <c r="D82" s="8"/>
      <c r="E82" s="8"/>
      <c r="F82" s="65">
        <f t="shared" ref="F82:K82" si="52">((F9*F20)+(F10*F21)+(F11*F22))*F34</f>
        <v>8760000000</v>
      </c>
      <c r="G82" s="65">
        <f t="shared" si="52"/>
        <v>18000000000</v>
      </c>
      <c r="H82" s="65">
        <f t="shared" si="52"/>
        <v>25090000000</v>
      </c>
      <c r="I82" s="65">
        <f t="shared" si="52"/>
        <v>30880000000</v>
      </c>
      <c r="J82" s="65">
        <f t="shared" si="52"/>
        <v>36670000000</v>
      </c>
      <c r="K82" s="65">
        <f t="shared" si="52"/>
        <v>36670000000</v>
      </c>
      <c r="L82" s="8"/>
      <c r="M82" s="8"/>
      <c r="N82" s="8"/>
      <c r="O82" s="8"/>
      <c r="P82" s="8"/>
    </row>
    <row r="83" spans="2:53">
      <c r="B83" s="1" t="s">
        <v>12</v>
      </c>
      <c r="C83" s="8"/>
      <c r="D83" s="8"/>
      <c r="E83" s="8"/>
      <c r="F83" s="65">
        <f t="shared" ref="F83:K83" si="53">((F9*F20*F29)+(F10*F21*F30)+(F11*F22*F31))*F34</f>
        <v>3883680000</v>
      </c>
      <c r="G83" s="65">
        <f t="shared" si="53"/>
        <v>8159000000</v>
      </c>
      <c r="H83" s="65">
        <f t="shared" si="53"/>
        <v>11391900000</v>
      </c>
      <c r="I83" s="65">
        <f t="shared" si="53"/>
        <v>14004800000</v>
      </c>
      <c r="J83" s="65">
        <f t="shared" si="53"/>
        <v>16630700000</v>
      </c>
      <c r="K83" s="65">
        <f t="shared" si="53"/>
        <v>16630700000</v>
      </c>
      <c r="L83" s="8"/>
      <c r="M83" s="8"/>
      <c r="N83" s="8"/>
      <c r="O83" s="8"/>
      <c r="P83" s="8"/>
      <c r="AD83" s="1" t="s">
        <v>143</v>
      </c>
      <c r="AE83" s="1"/>
      <c r="AF83" s="1"/>
      <c r="AG83" s="1"/>
      <c r="AH83" s="1"/>
      <c r="AI83" s="1"/>
      <c r="AJ83" s="1"/>
      <c r="AK83" s="1"/>
      <c r="AL83" s="1"/>
      <c r="AM83" s="1"/>
      <c r="AN83" s="1"/>
      <c r="AO83" s="1"/>
      <c r="AP83" s="1"/>
      <c r="AQ83" s="1"/>
      <c r="AR83" s="1"/>
      <c r="AS83" s="1"/>
      <c r="AT83" s="1"/>
      <c r="AU83" s="1"/>
      <c r="AV83" s="1"/>
      <c r="AW83" s="1"/>
      <c r="AX83" s="1"/>
      <c r="AY83" s="1"/>
      <c r="AZ83" s="1"/>
      <c r="BA83" s="1"/>
    </row>
    <row r="84" spans="2:53">
      <c r="B84" s="1" t="s">
        <v>0</v>
      </c>
      <c r="C84" s="8"/>
      <c r="D84" s="8"/>
      <c r="E84" s="8"/>
      <c r="F84" s="65">
        <f>F82-F83</f>
        <v>4876320000</v>
      </c>
      <c r="G84" s="65">
        <f t="shared" ref="G84:K84" si="54">G82-G83</f>
        <v>9841000000</v>
      </c>
      <c r="H84" s="65">
        <f t="shared" si="54"/>
        <v>13698100000</v>
      </c>
      <c r="I84" s="65">
        <f t="shared" si="54"/>
        <v>16875200000</v>
      </c>
      <c r="J84" s="65">
        <f t="shared" si="54"/>
        <v>20039300000</v>
      </c>
      <c r="K84" s="65">
        <f t="shared" si="54"/>
        <v>20039300000</v>
      </c>
      <c r="L84" s="8"/>
      <c r="M84" s="8"/>
      <c r="N84" s="8"/>
      <c r="O84" s="8"/>
      <c r="P84" s="8"/>
      <c r="AD84" s="195" t="s">
        <v>63</v>
      </c>
      <c r="AE84" s="195"/>
      <c r="AF84" s="195"/>
      <c r="AG84" s="5" t="s">
        <v>115</v>
      </c>
      <c r="AH84" s="1"/>
      <c r="AI84" s="1"/>
      <c r="AJ84" s="1"/>
      <c r="AK84" s="1"/>
      <c r="AL84" s="1"/>
      <c r="AM84" s="1"/>
      <c r="AN84" s="1"/>
      <c r="AO84" s="1"/>
      <c r="AP84" s="1"/>
      <c r="AQ84" s="1"/>
      <c r="AR84" s="1"/>
      <c r="AS84" s="1"/>
      <c r="AT84" s="1"/>
      <c r="AU84" s="1"/>
      <c r="AV84" s="1"/>
      <c r="AW84" s="1"/>
      <c r="AX84" s="1"/>
      <c r="AY84" s="1"/>
      <c r="AZ84" s="1"/>
      <c r="BA84" s="1"/>
    </row>
    <row r="85" spans="2:53">
      <c r="B85" s="69" t="s">
        <v>58</v>
      </c>
      <c r="C85" s="7"/>
      <c r="D85" s="7"/>
      <c r="E85" s="7"/>
      <c r="F85" s="74">
        <f>+F84/F82</f>
        <v>0.55665753424657538</v>
      </c>
      <c r="G85" s="74">
        <f t="shared" ref="G85:K85" si="55">+G84/G82</f>
        <v>0.54672222222222222</v>
      </c>
      <c r="H85" s="74">
        <f t="shared" si="55"/>
        <v>0.54595854922279796</v>
      </c>
      <c r="I85" s="74">
        <f t="shared" si="55"/>
        <v>0.54647668393782378</v>
      </c>
      <c r="J85" s="74">
        <f t="shared" si="55"/>
        <v>0.54647668393782378</v>
      </c>
      <c r="K85" s="74">
        <f t="shared" si="55"/>
        <v>0.54647668393782378</v>
      </c>
      <c r="L85" s="7"/>
      <c r="M85" s="7"/>
      <c r="N85" s="7"/>
      <c r="O85" s="7"/>
      <c r="P85" s="7"/>
      <c r="AD85" s="194" t="s">
        <v>114</v>
      </c>
      <c r="AE85" s="194"/>
      <c r="AF85" s="194"/>
      <c r="AG85" s="106">
        <f>AE87</f>
        <v>44561</v>
      </c>
      <c r="AH85" s="106">
        <f>AG85+0.25+365.25</f>
        <v>44926.5</v>
      </c>
      <c r="AI85" s="106">
        <f t="shared" ref="AI85:AZ85" si="56">AH85+365.25</f>
        <v>45291.75</v>
      </c>
      <c r="AJ85" s="106">
        <f t="shared" si="56"/>
        <v>45657</v>
      </c>
      <c r="AK85" s="106">
        <f t="shared" si="56"/>
        <v>46022.25</v>
      </c>
      <c r="AL85" s="106">
        <f t="shared" si="56"/>
        <v>46387.5</v>
      </c>
      <c r="AM85" s="106">
        <f t="shared" si="56"/>
        <v>46752.75</v>
      </c>
      <c r="AN85" s="106">
        <f t="shared" si="56"/>
        <v>47118</v>
      </c>
      <c r="AO85" s="106">
        <f t="shared" si="56"/>
        <v>47483.25</v>
      </c>
      <c r="AP85" s="106">
        <f t="shared" si="56"/>
        <v>47848.5</v>
      </c>
      <c r="AQ85" s="106">
        <f t="shared" si="56"/>
        <v>48213.75</v>
      </c>
      <c r="AR85" s="106">
        <f t="shared" si="56"/>
        <v>48579</v>
      </c>
      <c r="AS85" s="106">
        <f t="shared" si="56"/>
        <v>48944.25</v>
      </c>
      <c r="AT85" s="106">
        <f t="shared" si="56"/>
        <v>49309.5</v>
      </c>
      <c r="AU85" s="106">
        <f t="shared" si="56"/>
        <v>49674.75</v>
      </c>
      <c r="AV85" s="106">
        <f t="shared" si="56"/>
        <v>50040</v>
      </c>
      <c r="AW85" s="106">
        <f t="shared" si="56"/>
        <v>50405.25</v>
      </c>
      <c r="AX85" s="106">
        <f t="shared" si="56"/>
        <v>50770.5</v>
      </c>
      <c r="AY85" s="106">
        <f t="shared" si="56"/>
        <v>51135.75</v>
      </c>
      <c r="AZ85" s="106">
        <f t="shared" si="56"/>
        <v>51501</v>
      </c>
      <c r="BA85" s="1"/>
    </row>
    <row r="86" spans="2:53">
      <c r="B86" s="1"/>
      <c r="C86" s="8"/>
      <c r="D86" s="8"/>
      <c r="E86" s="8"/>
      <c r="F86" s="8"/>
      <c r="G86" s="8"/>
      <c r="H86" s="8"/>
      <c r="I86" s="8"/>
      <c r="J86" s="8"/>
      <c r="K86" s="8"/>
      <c r="L86" s="8"/>
      <c r="M86" s="8"/>
      <c r="N86" s="8"/>
      <c r="O86" s="8"/>
      <c r="P86" s="8"/>
      <c r="AD86" s="1"/>
      <c r="AE86" s="106">
        <v>44197</v>
      </c>
      <c r="AF86" s="67">
        <v>7000000000</v>
      </c>
      <c r="AG86" s="107">
        <f>$AF86/20</f>
        <v>350000000</v>
      </c>
      <c r="AH86" s="107">
        <f>$AF86/20</f>
        <v>350000000</v>
      </c>
      <c r="AI86" s="107">
        <f t="shared" ref="AH86:AZ97" si="57">$AF86/20</f>
        <v>350000000</v>
      </c>
      <c r="AJ86" s="107">
        <f t="shared" si="57"/>
        <v>350000000</v>
      </c>
      <c r="AK86" s="107">
        <f t="shared" si="57"/>
        <v>350000000</v>
      </c>
      <c r="AL86" s="107">
        <f t="shared" si="57"/>
        <v>350000000</v>
      </c>
      <c r="AM86" s="107">
        <f t="shared" si="57"/>
        <v>350000000</v>
      </c>
      <c r="AN86" s="107">
        <f t="shared" si="57"/>
        <v>350000000</v>
      </c>
      <c r="AO86" s="107">
        <f t="shared" si="57"/>
        <v>350000000</v>
      </c>
      <c r="AP86" s="107">
        <f t="shared" si="57"/>
        <v>350000000</v>
      </c>
      <c r="AQ86" s="107">
        <f t="shared" si="57"/>
        <v>350000000</v>
      </c>
      <c r="AR86" s="107">
        <f t="shared" si="57"/>
        <v>350000000</v>
      </c>
      <c r="AS86" s="107">
        <f t="shared" si="57"/>
        <v>350000000</v>
      </c>
      <c r="AT86" s="107">
        <f t="shared" si="57"/>
        <v>350000000</v>
      </c>
      <c r="AU86" s="107">
        <f t="shared" si="57"/>
        <v>350000000</v>
      </c>
      <c r="AV86" s="107">
        <f t="shared" si="57"/>
        <v>350000000</v>
      </c>
      <c r="AW86" s="107">
        <f t="shared" si="57"/>
        <v>350000000</v>
      </c>
      <c r="AX86" s="107">
        <f t="shared" si="57"/>
        <v>350000000</v>
      </c>
      <c r="AY86" s="107">
        <f t="shared" si="57"/>
        <v>350000000</v>
      </c>
      <c r="AZ86" s="107">
        <f t="shared" si="57"/>
        <v>350000000</v>
      </c>
      <c r="BA86" s="107">
        <f>SUM(AG86:AZ86)</f>
        <v>7000000000</v>
      </c>
    </row>
    <row r="87" spans="2:53">
      <c r="B87" s="1" t="s">
        <v>10</v>
      </c>
      <c r="C87" s="65">
        <f t="shared" ref="C87:K87" si="58">+-C38</f>
        <v>0</v>
      </c>
      <c r="D87" s="65">
        <f t="shared" si="58"/>
        <v>-457852500</v>
      </c>
      <c r="E87" s="65">
        <f t="shared" si="58"/>
        <v>-915705000</v>
      </c>
      <c r="F87" s="65">
        <f t="shared" si="58"/>
        <v>-1795500000</v>
      </c>
      <c r="G87" s="65">
        <f t="shared" si="58"/>
        <v>-2546874000</v>
      </c>
      <c r="H87" s="65">
        <f t="shared" si="58"/>
        <v>-3379340000</v>
      </c>
      <c r="I87" s="65">
        <f t="shared" si="58"/>
        <v>-3594182500</v>
      </c>
      <c r="J87" s="65">
        <f t="shared" si="58"/>
        <v>-3805605000</v>
      </c>
      <c r="K87" s="65">
        <f t="shared" si="58"/>
        <v>-4017027500</v>
      </c>
      <c r="L87" s="8"/>
      <c r="M87" s="8"/>
      <c r="N87" s="8"/>
      <c r="O87" s="8"/>
      <c r="P87" s="8"/>
      <c r="Q87" s="1"/>
      <c r="AD87" s="1"/>
      <c r="AE87" s="106">
        <v>44561</v>
      </c>
      <c r="AF87" s="67">
        <v>5000000000</v>
      </c>
      <c r="AG87" s="107">
        <f>$AF87/20</f>
        <v>250000000</v>
      </c>
      <c r="AH87" s="107">
        <f t="shared" si="57"/>
        <v>250000000</v>
      </c>
      <c r="AI87" s="107">
        <f t="shared" si="57"/>
        <v>250000000</v>
      </c>
      <c r="AJ87" s="107">
        <f t="shared" si="57"/>
        <v>250000000</v>
      </c>
      <c r="AK87" s="107">
        <f t="shared" si="57"/>
        <v>250000000</v>
      </c>
      <c r="AL87" s="107">
        <f t="shared" si="57"/>
        <v>250000000</v>
      </c>
      <c r="AM87" s="107">
        <f t="shared" si="57"/>
        <v>250000000</v>
      </c>
      <c r="AN87" s="107">
        <f t="shared" si="57"/>
        <v>250000000</v>
      </c>
      <c r="AO87" s="107">
        <f t="shared" si="57"/>
        <v>250000000</v>
      </c>
      <c r="AP87" s="107">
        <f t="shared" si="57"/>
        <v>250000000</v>
      </c>
      <c r="AQ87" s="107">
        <f t="shared" si="57"/>
        <v>250000000</v>
      </c>
      <c r="AR87" s="107">
        <f t="shared" si="57"/>
        <v>250000000</v>
      </c>
      <c r="AS87" s="107">
        <f t="shared" si="57"/>
        <v>250000000</v>
      </c>
      <c r="AT87" s="107">
        <f t="shared" si="57"/>
        <v>250000000</v>
      </c>
      <c r="AU87" s="107">
        <f t="shared" si="57"/>
        <v>250000000</v>
      </c>
      <c r="AV87" s="107">
        <f t="shared" si="57"/>
        <v>250000000</v>
      </c>
      <c r="AW87" s="107">
        <f t="shared" si="57"/>
        <v>250000000</v>
      </c>
      <c r="AX87" s="107">
        <f t="shared" si="57"/>
        <v>250000000</v>
      </c>
      <c r="AY87" s="107">
        <f t="shared" si="57"/>
        <v>250000000</v>
      </c>
      <c r="AZ87" s="107">
        <f t="shared" si="57"/>
        <v>250000000</v>
      </c>
      <c r="BA87" s="107">
        <f t="shared" ref="BA87:BA97" si="59">SUM(AG87:AZ87)</f>
        <v>5000000000</v>
      </c>
    </row>
    <row r="88" spans="2:53">
      <c r="B88" s="1" t="s">
        <v>1</v>
      </c>
      <c r="C88" s="65">
        <f>+C84+C87</f>
        <v>0</v>
      </c>
      <c r="D88" s="65">
        <f t="shared" ref="D88" si="60">+D84+D87</f>
        <v>-457852500</v>
      </c>
      <c r="E88" s="65">
        <f t="shared" ref="E88" si="61">+E84+E87</f>
        <v>-915705000</v>
      </c>
      <c r="F88" s="65">
        <f>+F84+F87</f>
        <v>3080820000</v>
      </c>
      <c r="G88" s="65">
        <f t="shared" ref="G88" si="62">+G84+G87</f>
        <v>7294126000</v>
      </c>
      <c r="H88" s="65">
        <f t="shared" ref="H88" si="63">+H84+H87</f>
        <v>10318760000</v>
      </c>
      <c r="I88" s="65">
        <f t="shared" ref="I88" si="64">+I84+I87</f>
        <v>13281017500</v>
      </c>
      <c r="J88" s="65">
        <f t="shared" ref="J88" si="65">+J84+J87</f>
        <v>16233695000</v>
      </c>
      <c r="K88" s="65">
        <f t="shared" ref="K88" si="66">+K84+K87</f>
        <v>16022272500</v>
      </c>
      <c r="L88" s="8"/>
      <c r="M88" s="8"/>
      <c r="N88" s="8"/>
      <c r="O88" s="8"/>
      <c r="P88" s="8"/>
      <c r="Q88" s="1"/>
      <c r="AD88" s="1"/>
      <c r="AE88" s="106">
        <v>44926</v>
      </c>
      <c r="AF88" s="67">
        <v>6000000000</v>
      </c>
      <c r="AG88" s="107"/>
      <c r="AH88" s="107">
        <f>$AF88/20</f>
        <v>300000000</v>
      </c>
      <c r="AI88" s="107">
        <f t="shared" si="57"/>
        <v>300000000</v>
      </c>
      <c r="AJ88" s="107">
        <f t="shared" si="57"/>
        <v>300000000</v>
      </c>
      <c r="AK88" s="107">
        <f t="shared" si="57"/>
        <v>300000000</v>
      </c>
      <c r="AL88" s="107">
        <f t="shared" si="57"/>
        <v>300000000</v>
      </c>
      <c r="AM88" s="107">
        <f t="shared" si="57"/>
        <v>300000000</v>
      </c>
      <c r="AN88" s="107">
        <f t="shared" si="57"/>
        <v>300000000</v>
      </c>
      <c r="AO88" s="107">
        <f t="shared" si="57"/>
        <v>300000000</v>
      </c>
      <c r="AP88" s="107">
        <f t="shared" si="57"/>
        <v>300000000</v>
      </c>
      <c r="AQ88" s="107">
        <f t="shared" si="57"/>
        <v>300000000</v>
      </c>
      <c r="AR88" s="107">
        <f t="shared" si="57"/>
        <v>300000000</v>
      </c>
      <c r="AS88" s="107">
        <f t="shared" si="57"/>
        <v>300000000</v>
      </c>
      <c r="AT88" s="107">
        <f t="shared" si="57"/>
        <v>300000000</v>
      </c>
      <c r="AU88" s="107">
        <f t="shared" si="57"/>
        <v>300000000</v>
      </c>
      <c r="AV88" s="107">
        <f t="shared" si="57"/>
        <v>300000000</v>
      </c>
      <c r="AW88" s="107">
        <f t="shared" si="57"/>
        <v>300000000</v>
      </c>
      <c r="AX88" s="107">
        <f t="shared" si="57"/>
        <v>300000000</v>
      </c>
      <c r="AY88" s="107">
        <f t="shared" si="57"/>
        <v>300000000</v>
      </c>
      <c r="AZ88" s="107">
        <f t="shared" si="57"/>
        <v>300000000</v>
      </c>
      <c r="BA88" s="107">
        <f t="shared" si="59"/>
        <v>5700000000</v>
      </c>
    </row>
    <row r="89" spans="2:53">
      <c r="B89" s="69" t="s">
        <v>59</v>
      </c>
      <c r="C89" s="11"/>
      <c r="D89" s="11"/>
      <c r="E89" s="11"/>
      <c r="F89" s="11">
        <f t="shared" ref="F89" si="67">+F88/F82</f>
        <v>0.35169178082191782</v>
      </c>
      <c r="G89" s="11">
        <f t="shared" ref="G89" si="68">+G88/G82</f>
        <v>0.40522922222222224</v>
      </c>
      <c r="H89" s="11">
        <f t="shared" ref="H89" si="69">+H88/H82</f>
        <v>0.41126982861697886</v>
      </c>
      <c r="I89" s="11">
        <f t="shared" ref="I89" si="70">+I88/I82</f>
        <v>0.43008476360103626</v>
      </c>
      <c r="J89" s="11">
        <f t="shared" ref="J89" si="71">+J88/J82</f>
        <v>0.44269689119170985</v>
      </c>
      <c r="K89" s="11">
        <f t="shared" ref="K89" si="72">+K88/K82</f>
        <v>0.43693134715025905</v>
      </c>
      <c r="L89" s="11"/>
      <c r="M89" s="11"/>
      <c r="N89" s="11"/>
      <c r="O89" s="11"/>
      <c r="P89" s="11"/>
      <c r="Q89" s="1"/>
      <c r="AD89" s="1"/>
      <c r="AE89" s="106">
        <v>45291</v>
      </c>
      <c r="AF89" s="67">
        <v>200000000</v>
      </c>
      <c r="AG89" s="107"/>
      <c r="AH89" s="107"/>
      <c r="AI89" s="107">
        <f t="shared" ref="AI89:AQ97" si="73">$AF89/20</f>
        <v>10000000</v>
      </c>
      <c r="AJ89" s="107">
        <f t="shared" si="57"/>
        <v>10000000</v>
      </c>
      <c r="AK89" s="107">
        <f t="shared" si="57"/>
        <v>10000000</v>
      </c>
      <c r="AL89" s="107">
        <f t="shared" si="57"/>
        <v>10000000</v>
      </c>
      <c r="AM89" s="107">
        <f t="shared" si="57"/>
        <v>10000000</v>
      </c>
      <c r="AN89" s="107">
        <f t="shared" si="57"/>
        <v>10000000</v>
      </c>
      <c r="AO89" s="107">
        <f t="shared" si="57"/>
        <v>10000000</v>
      </c>
      <c r="AP89" s="107">
        <f t="shared" si="57"/>
        <v>10000000</v>
      </c>
      <c r="AQ89" s="107">
        <f t="shared" si="57"/>
        <v>10000000</v>
      </c>
      <c r="AR89" s="107">
        <f t="shared" si="57"/>
        <v>10000000</v>
      </c>
      <c r="AS89" s="107">
        <f t="shared" si="57"/>
        <v>10000000</v>
      </c>
      <c r="AT89" s="107">
        <f t="shared" si="57"/>
        <v>10000000</v>
      </c>
      <c r="AU89" s="107">
        <f t="shared" si="57"/>
        <v>10000000</v>
      </c>
      <c r="AV89" s="107">
        <f t="shared" si="57"/>
        <v>10000000</v>
      </c>
      <c r="AW89" s="107">
        <f t="shared" si="57"/>
        <v>10000000</v>
      </c>
      <c r="AX89" s="107">
        <f t="shared" si="57"/>
        <v>10000000</v>
      </c>
      <c r="AY89" s="107">
        <f t="shared" si="57"/>
        <v>10000000</v>
      </c>
      <c r="AZ89" s="107">
        <f t="shared" si="57"/>
        <v>10000000</v>
      </c>
      <c r="BA89" s="107">
        <f t="shared" si="59"/>
        <v>180000000</v>
      </c>
    </row>
    <row r="90" spans="2:53">
      <c r="B90" s="1" t="s">
        <v>13</v>
      </c>
      <c r="C90" s="65">
        <v>0</v>
      </c>
      <c r="D90" s="65">
        <f>+SUM($C14:D14)/20</f>
        <v>600000000</v>
      </c>
      <c r="E90" s="65">
        <f>+SUM($C14:E14)/20</f>
        <v>900000000</v>
      </c>
      <c r="F90" s="65">
        <f>+SUM($C14:F14)/20</f>
        <v>910000000</v>
      </c>
      <c r="G90" s="65">
        <f>+SUM($C14:G14)/20</f>
        <v>920000000</v>
      </c>
      <c r="H90" s="65">
        <f>+SUM($C14:H14)/20</f>
        <v>930000000</v>
      </c>
      <c r="I90" s="65">
        <f>+SUM($C14:I14)/20</f>
        <v>940000000</v>
      </c>
      <c r="J90" s="65">
        <f>+SUM($C14:J14)/20</f>
        <v>950000000</v>
      </c>
      <c r="K90" s="65">
        <f>+SUM($C14:K14)/20</f>
        <v>960000000</v>
      </c>
      <c r="L90" s="8"/>
      <c r="M90" s="8"/>
      <c r="N90" s="8"/>
      <c r="O90" s="8"/>
      <c r="P90" s="8"/>
      <c r="Q90" s="1"/>
      <c r="AD90" s="1"/>
      <c r="AE90" s="106">
        <v>45657</v>
      </c>
      <c r="AF90" s="67">
        <v>200000000</v>
      </c>
      <c r="AG90" s="107"/>
      <c r="AH90" s="107"/>
      <c r="AI90" s="107"/>
      <c r="AJ90" s="107">
        <f t="shared" si="73"/>
        <v>10000000</v>
      </c>
      <c r="AK90" s="107">
        <f t="shared" si="57"/>
        <v>10000000</v>
      </c>
      <c r="AL90" s="107">
        <f t="shared" si="57"/>
        <v>10000000</v>
      </c>
      <c r="AM90" s="107">
        <f t="shared" si="57"/>
        <v>10000000</v>
      </c>
      <c r="AN90" s="107">
        <f t="shared" si="57"/>
        <v>10000000</v>
      </c>
      <c r="AO90" s="107">
        <f t="shared" si="57"/>
        <v>10000000</v>
      </c>
      <c r="AP90" s="107">
        <f t="shared" si="57"/>
        <v>10000000</v>
      </c>
      <c r="AQ90" s="107">
        <f t="shared" si="57"/>
        <v>10000000</v>
      </c>
      <c r="AR90" s="107">
        <f t="shared" si="57"/>
        <v>10000000</v>
      </c>
      <c r="AS90" s="107">
        <f t="shared" si="57"/>
        <v>10000000</v>
      </c>
      <c r="AT90" s="107">
        <f t="shared" si="57"/>
        <v>10000000</v>
      </c>
      <c r="AU90" s="107">
        <f t="shared" si="57"/>
        <v>10000000</v>
      </c>
      <c r="AV90" s="107">
        <f t="shared" si="57"/>
        <v>10000000</v>
      </c>
      <c r="AW90" s="107">
        <f t="shared" si="57"/>
        <v>10000000</v>
      </c>
      <c r="AX90" s="107">
        <f t="shared" si="57"/>
        <v>10000000</v>
      </c>
      <c r="AY90" s="107">
        <f t="shared" si="57"/>
        <v>10000000</v>
      </c>
      <c r="AZ90" s="107">
        <f t="shared" si="57"/>
        <v>10000000</v>
      </c>
      <c r="BA90" s="107">
        <f t="shared" si="59"/>
        <v>170000000</v>
      </c>
    </row>
    <row r="91" spans="2:53">
      <c r="B91" s="1" t="s">
        <v>2</v>
      </c>
      <c r="C91" s="66">
        <f>C88-C90</f>
        <v>0</v>
      </c>
      <c r="D91" s="66">
        <f t="shared" ref="D91:K91" si="74">D88-D90</f>
        <v>-1057852500</v>
      </c>
      <c r="E91" s="66">
        <f t="shared" si="74"/>
        <v>-1815705000</v>
      </c>
      <c r="F91" s="66">
        <f t="shared" si="74"/>
        <v>2170820000</v>
      </c>
      <c r="G91" s="66">
        <f t="shared" si="74"/>
        <v>6374126000</v>
      </c>
      <c r="H91" s="66">
        <f t="shared" si="74"/>
        <v>9388760000</v>
      </c>
      <c r="I91" s="66">
        <f t="shared" si="74"/>
        <v>12341017500</v>
      </c>
      <c r="J91" s="66">
        <f t="shared" si="74"/>
        <v>15283695000</v>
      </c>
      <c r="K91" s="66">
        <f t="shared" si="74"/>
        <v>15062272500</v>
      </c>
      <c r="L91" s="9"/>
      <c r="M91" s="9"/>
      <c r="N91" s="9"/>
      <c r="O91" s="9"/>
      <c r="P91" s="9"/>
      <c r="Q91" s="1"/>
      <c r="AD91" s="1"/>
      <c r="AE91" s="106">
        <v>46022</v>
      </c>
      <c r="AF91" s="67">
        <v>200000000</v>
      </c>
      <c r="AG91" s="107"/>
      <c r="AH91" s="107"/>
      <c r="AI91" s="107"/>
      <c r="AJ91" s="107"/>
      <c r="AK91" s="107">
        <f t="shared" si="73"/>
        <v>10000000</v>
      </c>
      <c r="AL91" s="107">
        <f t="shared" si="57"/>
        <v>10000000</v>
      </c>
      <c r="AM91" s="107">
        <f t="shared" si="57"/>
        <v>10000000</v>
      </c>
      <c r="AN91" s="107">
        <f t="shared" si="57"/>
        <v>10000000</v>
      </c>
      <c r="AO91" s="107">
        <f t="shared" si="57"/>
        <v>10000000</v>
      </c>
      <c r="AP91" s="107">
        <f t="shared" si="57"/>
        <v>10000000</v>
      </c>
      <c r="AQ91" s="107">
        <f t="shared" si="57"/>
        <v>10000000</v>
      </c>
      <c r="AR91" s="107">
        <f t="shared" si="57"/>
        <v>10000000</v>
      </c>
      <c r="AS91" s="107">
        <f t="shared" si="57"/>
        <v>10000000</v>
      </c>
      <c r="AT91" s="107">
        <f t="shared" si="57"/>
        <v>10000000</v>
      </c>
      <c r="AU91" s="107">
        <f t="shared" si="57"/>
        <v>10000000</v>
      </c>
      <c r="AV91" s="107">
        <f t="shared" si="57"/>
        <v>10000000</v>
      </c>
      <c r="AW91" s="107">
        <f t="shared" si="57"/>
        <v>10000000</v>
      </c>
      <c r="AX91" s="107">
        <f t="shared" si="57"/>
        <v>10000000</v>
      </c>
      <c r="AY91" s="107">
        <f t="shared" si="57"/>
        <v>10000000</v>
      </c>
      <c r="AZ91" s="107">
        <f t="shared" si="57"/>
        <v>10000000</v>
      </c>
      <c r="BA91" s="107">
        <f t="shared" si="59"/>
        <v>160000000</v>
      </c>
    </row>
    <row r="92" spans="2:53">
      <c r="B92" s="1"/>
      <c r="C92" s="8"/>
      <c r="D92" s="8"/>
      <c r="E92" s="8"/>
      <c r="F92" s="8"/>
      <c r="G92" s="8"/>
      <c r="H92" s="8"/>
      <c r="I92" s="8"/>
      <c r="J92" s="8"/>
      <c r="K92" s="8"/>
      <c r="L92" s="8"/>
      <c r="M92" s="8"/>
      <c r="N92" s="8"/>
      <c r="O92" s="8"/>
      <c r="P92" s="8"/>
      <c r="Q92" s="1"/>
      <c r="AD92" s="1"/>
      <c r="AE92" s="106">
        <v>46387</v>
      </c>
      <c r="AF92" s="67">
        <v>200000000</v>
      </c>
      <c r="AG92" s="107"/>
      <c r="AH92" s="107"/>
      <c r="AI92" s="107"/>
      <c r="AJ92" s="107"/>
      <c r="AK92" s="107"/>
      <c r="AL92" s="107">
        <f t="shared" si="73"/>
        <v>10000000</v>
      </c>
      <c r="AM92" s="107">
        <f t="shared" si="57"/>
        <v>10000000</v>
      </c>
      <c r="AN92" s="107">
        <f t="shared" si="57"/>
        <v>10000000</v>
      </c>
      <c r="AO92" s="107">
        <f t="shared" si="57"/>
        <v>10000000</v>
      </c>
      <c r="AP92" s="107">
        <f t="shared" si="57"/>
        <v>10000000</v>
      </c>
      <c r="AQ92" s="107">
        <f t="shared" si="57"/>
        <v>10000000</v>
      </c>
      <c r="AR92" s="107">
        <f t="shared" si="57"/>
        <v>10000000</v>
      </c>
      <c r="AS92" s="107">
        <f t="shared" si="57"/>
        <v>10000000</v>
      </c>
      <c r="AT92" s="107">
        <f t="shared" si="57"/>
        <v>10000000</v>
      </c>
      <c r="AU92" s="107">
        <f t="shared" si="57"/>
        <v>10000000</v>
      </c>
      <c r="AV92" s="107">
        <f t="shared" si="57"/>
        <v>10000000</v>
      </c>
      <c r="AW92" s="107">
        <f t="shared" si="57"/>
        <v>10000000</v>
      </c>
      <c r="AX92" s="107">
        <f t="shared" si="57"/>
        <v>10000000</v>
      </c>
      <c r="AY92" s="107">
        <f t="shared" si="57"/>
        <v>10000000</v>
      </c>
      <c r="AZ92" s="107">
        <f t="shared" si="57"/>
        <v>10000000</v>
      </c>
      <c r="BA92" s="107">
        <f t="shared" si="59"/>
        <v>150000000</v>
      </c>
    </row>
    <row r="93" spans="2:53">
      <c r="B93" s="1" t="s">
        <v>17</v>
      </c>
      <c r="C93" s="65">
        <f t="shared" ref="C93:D93" si="75">+C82*C$16</f>
        <v>0</v>
      </c>
      <c r="D93" s="65">
        <f t="shared" si="75"/>
        <v>0</v>
      </c>
      <c r="E93" s="65">
        <f>+E82*E$16</f>
        <v>0</v>
      </c>
      <c r="F93" s="65">
        <f>+F82*F$16</f>
        <v>3066000000</v>
      </c>
      <c r="G93" s="65">
        <f t="shared" ref="G93:K93" si="76">+G82*G$16</f>
        <v>4500000000</v>
      </c>
      <c r="H93" s="65">
        <f t="shared" si="76"/>
        <v>5018000000</v>
      </c>
      <c r="I93" s="65">
        <f t="shared" si="76"/>
        <v>4632000000</v>
      </c>
      <c r="J93" s="65">
        <f t="shared" si="76"/>
        <v>5500500000</v>
      </c>
      <c r="K93" s="65">
        <f t="shared" si="76"/>
        <v>5500500000</v>
      </c>
      <c r="L93" s="8"/>
      <c r="M93" s="8"/>
      <c r="N93" s="8"/>
      <c r="O93" s="8"/>
      <c r="P93" s="8"/>
      <c r="Q93" s="1"/>
      <c r="AD93" s="1"/>
      <c r="AE93" s="106">
        <v>46752</v>
      </c>
      <c r="AF93" s="67">
        <v>200000000</v>
      </c>
      <c r="AG93" s="107"/>
      <c r="AH93" s="107"/>
      <c r="AI93" s="107"/>
      <c r="AJ93" s="107"/>
      <c r="AK93" s="107"/>
      <c r="AL93" s="107"/>
      <c r="AM93" s="107">
        <f t="shared" si="73"/>
        <v>10000000</v>
      </c>
      <c r="AN93" s="107">
        <f t="shared" si="57"/>
        <v>10000000</v>
      </c>
      <c r="AO93" s="107">
        <f t="shared" si="57"/>
        <v>10000000</v>
      </c>
      <c r="AP93" s="107">
        <f t="shared" si="57"/>
        <v>10000000</v>
      </c>
      <c r="AQ93" s="107">
        <f t="shared" si="57"/>
        <v>10000000</v>
      </c>
      <c r="AR93" s="107">
        <f t="shared" si="57"/>
        <v>10000000</v>
      </c>
      <c r="AS93" s="107">
        <f t="shared" si="57"/>
        <v>10000000</v>
      </c>
      <c r="AT93" s="107">
        <f t="shared" si="57"/>
        <v>10000000</v>
      </c>
      <c r="AU93" s="107">
        <f t="shared" si="57"/>
        <v>10000000</v>
      </c>
      <c r="AV93" s="107">
        <f t="shared" si="57"/>
        <v>10000000</v>
      </c>
      <c r="AW93" s="107">
        <f t="shared" si="57"/>
        <v>10000000</v>
      </c>
      <c r="AX93" s="107">
        <f t="shared" si="57"/>
        <v>10000000</v>
      </c>
      <c r="AY93" s="107">
        <f t="shared" si="57"/>
        <v>10000000</v>
      </c>
      <c r="AZ93" s="107">
        <f t="shared" si="57"/>
        <v>10000000</v>
      </c>
      <c r="BA93" s="107">
        <f t="shared" si="59"/>
        <v>140000000</v>
      </c>
    </row>
    <row r="94" spans="2:53" s="1" customFormat="1">
      <c r="C94" s="8"/>
      <c r="E94" s="8"/>
      <c r="F94" s="8"/>
      <c r="G94" s="8"/>
      <c r="H94" s="8"/>
      <c r="I94" s="8"/>
      <c r="J94" s="8"/>
      <c r="K94" s="8"/>
      <c r="L94" s="8"/>
      <c r="M94" s="8"/>
      <c r="N94" s="8"/>
      <c r="O94" s="8"/>
      <c r="P94" s="8"/>
      <c r="AE94" s="106">
        <v>47118</v>
      </c>
      <c r="AF94" s="67">
        <v>200000000</v>
      </c>
      <c r="AG94" s="107"/>
      <c r="AH94" s="107"/>
      <c r="AI94" s="107"/>
      <c r="AJ94" s="107"/>
      <c r="AK94" s="107"/>
      <c r="AL94" s="107"/>
      <c r="AM94" s="107"/>
      <c r="AN94" s="107">
        <f t="shared" si="73"/>
        <v>10000000</v>
      </c>
      <c r="AO94" s="107">
        <f t="shared" si="57"/>
        <v>10000000</v>
      </c>
      <c r="AP94" s="107">
        <f t="shared" si="57"/>
        <v>10000000</v>
      </c>
      <c r="AQ94" s="107">
        <f t="shared" si="57"/>
        <v>10000000</v>
      </c>
      <c r="AR94" s="107">
        <f t="shared" si="57"/>
        <v>10000000</v>
      </c>
      <c r="AS94" s="107">
        <f t="shared" si="57"/>
        <v>10000000</v>
      </c>
      <c r="AT94" s="107">
        <f t="shared" si="57"/>
        <v>10000000</v>
      </c>
      <c r="AU94" s="107">
        <f t="shared" si="57"/>
        <v>10000000</v>
      </c>
      <c r="AV94" s="107">
        <f t="shared" si="57"/>
        <v>10000000</v>
      </c>
      <c r="AW94" s="107">
        <f t="shared" si="57"/>
        <v>10000000</v>
      </c>
      <c r="AX94" s="107">
        <f t="shared" si="57"/>
        <v>10000000</v>
      </c>
      <c r="AY94" s="107">
        <f t="shared" si="57"/>
        <v>10000000</v>
      </c>
      <c r="AZ94" s="107">
        <f t="shared" si="57"/>
        <v>10000000</v>
      </c>
      <c r="BA94" s="107">
        <f t="shared" si="59"/>
        <v>130000000</v>
      </c>
    </row>
    <row r="95" spans="2:53">
      <c r="B95" s="1"/>
      <c r="C95" s="30">
        <v>0</v>
      </c>
      <c r="D95" s="30">
        <f>+C95+1</f>
        <v>1</v>
      </c>
      <c r="E95" s="30">
        <f t="shared" ref="E95:P95" si="77">+D95+1</f>
        <v>2</v>
      </c>
      <c r="F95" s="30">
        <f t="shared" si="77"/>
        <v>3</v>
      </c>
      <c r="G95" s="30">
        <f t="shared" si="77"/>
        <v>4</v>
      </c>
      <c r="H95" s="30">
        <f t="shared" si="77"/>
        <v>5</v>
      </c>
      <c r="I95" s="30">
        <f t="shared" si="77"/>
        <v>6</v>
      </c>
      <c r="J95" s="30">
        <f t="shared" si="77"/>
        <v>7</v>
      </c>
      <c r="K95" s="30">
        <f t="shared" si="77"/>
        <v>8</v>
      </c>
      <c r="L95" s="30">
        <f t="shared" si="77"/>
        <v>9</v>
      </c>
      <c r="M95" s="30">
        <f t="shared" si="77"/>
        <v>10</v>
      </c>
      <c r="N95" s="30">
        <f t="shared" si="77"/>
        <v>11</v>
      </c>
      <c r="O95" s="30">
        <f t="shared" si="77"/>
        <v>12</v>
      </c>
      <c r="P95" s="30">
        <f t="shared" si="77"/>
        <v>13</v>
      </c>
      <c r="Q95" s="30">
        <f t="shared" ref="Q95" si="78">+P95+1</f>
        <v>14</v>
      </c>
      <c r="R95" s="30">
        <f t="shared" ref="R95" si="79">+Q95+1</f>
        <v>15</v>
      </c>
      <c r="S95" s="30">
        <f t="shared" ref="S95" si="80">+R95+1</f>
        <v>16</v>
      </c>
      <c r="T95" s="30">
        <f t="shared" ref="T95" si="81">+S95+1</f>
        <v>17</v>
      </c>
      <c r="U95" s="30">
        <f t="shared" ref="U95" si="82">+T95+1</f>
        <v>18</v>
      </c>
      <c r="V95" s="30">
        <f t="shared" ref="V95" si="83">+U95+1</f>
        <v>19</v>
      </c>
      <c r="W95" s="30">
        <f t="shared" ref="W95" si="84">+V95+1</f>
        <v>20</v>
      </c>
      <c r="X95" s="30">
        <f>+W95+1</f>
        <v>21</v>
      </c>
      <c r="Y95" s="30"/>
      <c r="Z95" s="30"/>
      <c r="AA95" s="30"/>
      <c r="AD95" s="1"/>
      <c r="AE95" s="106">
        <v>47483.25</v>
      </c>
      <c r="AF95" s="67">
        <v>200000000</v>
      </c>
      <c r="AG95" s="107"/>
      <c r="AH95" s="107"/>
      <c r="AI95" s="107"/>
      <c r="AJ95" s="107"/>
      <c r="AK95" s="107"/>
      <c r="AL95" s="107"/>
      <c r="AM95" s="107"/>
      <c r="AN95" s="107"/>
      <c r="AO95" s="107">
        <f t="shared" si="73"/>
        <v>10000000</v>
      </c>
      <c r="AP95" s="107">
        <f t="shared" si="57"/>
        <v>10000000</v>
      </c>
      <c r="AQ95" s="107">
        <f t="shared" si="57"/>
        <v>10000000</v>
      </c>
      <c r="AR95" s="107">
        <f t="shared" si="57"/>
        <v>10000000</v>
      </c>
      <c r="AS95" s="107">
        <f t="shared" si="57"/>
        <v>10000000</v>
      </c>
      <c r="AT95" s="107">
        <f t="shared" si="57"/>
        <v>10000000</v>
      </c>
      <c r="AU95" s="107">
        <f t="shared" si="57"/>
        <v>10000000</v>
      </c>
      <c r="AV95" s="107">
        <f t="shared" si="57"/>
        <v>10000000</v>
      </c>
      <c r="AW95" s="107">
        <f t="shared" si="57"/>
        <v>10000000</v>
      </c>
      <c r="AX95" s="107">
        <f t="shared" si="57"/>
        <v>10000000</v>
      </c>
      <c r="AY95" s="107">
        <f t="shared" si="57"/>
        <v>10000000</v>
      </c>
      <c r="AZ95" s="107">
        <f t="shared" si="57"/>
        <v>10000000</v>
      </c>
      <c r="BA95" s="107">
        <f t="shared" si="59"/>
        <v>120000000</v>
      </c>
    </row>
    <row r="96" spans="2:53">
      <c r="B96" s="15"/>
      <c r="C96" s="64">
        <f t="shared" ref="C96:X96" si="85">C61</f>
        <v>44197</v>
      </c>
      <c r="D96" s="64">
        <f t="shared" si="85"/>
        <v>44561</v>
      </c>
      <c r="E96" s="64">
        <f t="shared" si="85"/>
        <v>44926</v>
      </c>
      <c r="F96" s="64">
        <f t="shared" si="85"/>
        <v>45291</v>
      </c>
      <c r="G96" s="64">
        <f t="shared" si="85"/>
        <v>45657</v>
      </c>
      <c r="H96" s="64">
        <f t="shared" si="85"/>
        <v>46022</v>
      </c>
      <c r="I96" s="64">
        <f t="shared" si="85"/>
        <v>46387</v>
      </c>
      <c r="J96" s="64">
        <f t="shared" si="85"/>
        <v>46752</v>
      </c>
      <c r="K96" s="64">
        <f t="shared" si="85"/>
        <v>47118</v>
      </c>
      <c r="L96" s="64">
        <f t="shared" si="85"/>
        <v>47483.25</v>
      </c>
      <c r="M96" s="64">
        <f t="shared" si="85"/>
        <v>47848.5</v>
      </c>
      <c r="N96" s="64">
        <f t="shared" si="85"/>
        <v>48213.75</v>
      </c>
      <c r="O96" s="64">
        <f t="shared" si="85"/>
        <v>48579</v>
      </c>
      <c r="P96" s="64">
        <f t="shared" si="85"/>
        <v>48944.25</v>
      </c>
      <c r="Q96" s="64">
        <f t="shared" si="85"/>
        <v>49309.5</v>
      </c>
      <c r="R96" s="64">
        <f t="shared" si="85"/>
        <v>49674.75</v>
      </c>
      <c r="S96" s="64">
        <f t="shared" si="85"/>
        <v>50040</v>
      </c>
      <c r="T96" s="64">
        <f t="shared" si="85"/>
        <v>50405.25</v>
      </c>
      <c r="U96" s="64">
        <f t="shared" si="85"/>
        <v>50770.5</v>
      </c>
      <c r="V96" s="64">
        <f t="shared" si="85"/>
        <v>51135.75</v>
      </c>
      <c r="W96" s="64">
        <f t="shared" si="85"/>
        <v>51501</v>
      </c>
      <c r="X96" s="64">
        <f t="shared" si="85"/>
        <v>51866.25</v>
      </c>
      <c r="Y96" s="101"/>
      <c r="Z96" s="165" t="s">
        <v>138</v>
      </c>
      <c r="AA96" s="166"/>
      <c r="AB96" s="167">
        <v>51866</v>
      </c>
      <c r="AD96" s="1"/>
      <c r="AE96" s="106">
        <v>47848.5</v>
      </c>
      <c r="AF96" s="67">
        <v>200000000</v>
      </c>
      <c r="AG96" s="107"/>
      <c r="AH96" s="107"/>
      <c r="AI96" s="107"/>
      <c r="AJ96" s="107"/>
      <c r="AK96" s="107"/>
      <c r="AL96" s="107"/>
      <c r="AM96" s="107"/>
      <c r="AN96" s="107"/>
      <c r="AO96" s="107"/>
      <c r="AP96" s="107">
        <f t="shared" si="73"/>
        <v>10000000</v>
      </c>
      <c r="AQ96" s="107">
        <f t="shared" si="57"/>
        <v>10000000</v>
      </c>
      <c r="AR96" s="107">
        <f t="shared" si="57"/>
        <v>10000000</v>
      </c>
      <c r="AS96" s="107">
        <f t="shared" si="57"/>
        <v>10000000</v>
      </c>
      <c r="AT96" s="107">
        <f t="shared" si="57"/>
        <v>10000000</v>
      </c>
      <c r="AU96" s="107">
        <f t="shared" si="57"/>
        <v>10000000</v>
      </c>
      <c r="AV96" s="107">
        <f t="shared" si="57"/>
        <v>10000000</v>
      </c>
      <c r="AW96" s="107">
        <f t="shared" si="57"/>
        <v>10000000</v>
      </c>
      <c r="AX96" s="107">
        <f t="shared" si="57"/>
        <v>10000000</v>
      </c>
      <c r="AY96" s="107">
        <f t="shared" si="57"/>
        <v>10000000</v>
      </c>
      <c r="AZ96" s="107">
        <f t="shared" si="57"/>
        <v>10000000</v>
      </c>
      <c r="BA96" s="107">
        <f t="shared" si="59"/>
        <v>110000000</v>
      </c>
    </row>
    <row r="97" spans="1:53">
      <c r="B97" s="1" t="s">
        <v>16</v>
      </c>
      <c r="C97" s="65">
        <f>+C91*(1-$D$41)</f>
        <v>0</v>
      </c>
      <c r="D97" s="65">
        <f t="shared" ref="D97:K97" si="86">+D91*(1-$D$41)</f>
        <v>-803967900</v>
      </c>
      <c r="E97" s="65">
        <f t="shared" si="86"/>
        <v>-1379935800</v>
      </c>
      <c r="F97" s="65">
        <f t="shared" si="86"/>
        <v>1649823200</v>
      </c>
      <c r="G97" s="65">
        <f t="shared" si="86"/>
        <v>4844335760</v>
      </c>
      <c r="H97" s="65">
        <f t="shared" si="86"/>
        <v>7135457600</v>
      </c>
      <c r="I97" s="65">
        <f t="shared" si="86"/>
        <v>9379173300</v>
      </c>
      <c r="J97" s="65">
        <f t="shared" si="86"/>
        <v>11615608200</v>
      </c>
      <c r="K97" s="65">
        <f t="shared" si="86"/>
        <v>11447327100</v>
      </c>
      <c r="L97" s="8"/>
      <c r="M97" s="8"/>
      <c r="N97" s="8"/>
      <c r="O97" s="8"/>
      <c r="P97" s="8"/>
      <c r="Q97" s="1"/>
      <c r="Z97" s="162" t="s">
        <v>144</v>
      </c>
      <c r="AA97" s="162"/>
      <c r="AB97" s="162"/>
      <c r="AD97" s="1"/>
      <c r="AE97" s="106">
        <v>48213.75</v>
      </c>
      <c r="AF97" s="67">
        <v>200000000</v>
      </c>
      <c r="AG97" s="107"/>
      <c r="AH97" s="107"/>
      <c r="AI97" s="107"/>
      <c r="AJ97" s="107"/>
      <c r="AK97" s="107"/>
      <c r="AL97" s="107"/>
      <c r="AM97" s="107"/>
      <c r="AN97" s="107"/>
      <c r="AO97" s="107"/>
      <c r="AP97" s="107"/>
      <c r="AQ97" s="107">
        <f t="shared" si="73"/>
        <v>10000000</v>
      </c>
      <c r="AR97" s="107">
        <f t="shared" si="57"/>
        <v>10000000</v>
      </c>
      <c r="AS97" s="107">
        <f t="shared" si="57"/>
        <v>10000000</v>
      </c>
      <c r="AT97" s="107">
        <f t="shared" si="57"/>
        <v>10000000</v>
      </c>
      <c r="AU97" s="107">
        <f t="shared" si="57"/>
        <v>10000000</v>
      </c>
      <c r="AV97" s="107">
        <f t="shared" si="57"/>
        <v>10000000</v>
      </c>
      <c r="AW97" s="107">
        <f t="shared" si="57"/>
        <v>10000000</v>
      </c>
      <c r="AX97" s="107">
        <f t="shared" si="57"/>
        <v>10000000</v>
      </c>
      <c r="AY97" s="107">
        <f t="shared" si="57"/>
        <v>10000000</v>
      </c>
      <c r="AZ97" s="107">
        <f t="shared" si="57"/>
        <v>10000000</v>
      </c>
      <c r="BA97" s="107">
        <f t="shared" si="59"/>
        <v>100000000</v>
      </c>
    </row>
    <row r="98" spans="1:53" s="1" customFormat="1">
      <c r="C98" s="65"/>
      <c r="D98" s="65"/>
      <c r="E98" s="65"/>
      <c r="F98" s="65"/>
      <c r="G98" s="65"/>
      <c r="H98" s="65"/>
      <c r="I98" s="65"/>
      <c r="J98" s="65"/>
      <c r="K98" s="65"/>
      <c r="L98" s="168" t="s">
        <v>142</v>
      </c>
      <c r="M98" s="161"/>
      <c r="N98" s="161"/>
      <c r="O98" s="161"/>
      <c r="P98" s="161"/>
      <c r="Z98" s="162"/>
      <c r="AA98" s="162"/>
      <c r="AB98" s="162"/>
      <c r="AE98" s="106">
        <v>48579</v>
      </c>
      <c r="AF98" s="67">
        <v>200000000</v>
      </c>
      <c r="AG98" s="107"/>
      <c r="AH98" s="107"/>
      <c r="AI98" s="107"/>
      <c r="AJ98" s="107"/>
      <c r="AK98" s="107"/>
      <c r="AL98" s="107"/>
      <c r="AM98" s="107"/>
      <c r="AN98" s="107"/>
      <c r="AO98" s="107"/>
      <c r="AP98" s="107"/>
      <c r="AQ98" s="107"/>
      <c r="AR98" s="107">
        <f t="shared" ref="AR98:AZ98" si="87">$AF98/20</f>
        <v>10000000</v>
      </c>
      <c r="AS98" s="107">
        <f t="shared" si="87"/>
        <v>10000000</v>
      </c>
      <c r="AT98" s="107">
        <f t="shared" si="87"/>
        <v>10000000</v>
      </c>
      <c r="AU98" s="107">
        <f t="shared" si="87"/>
        <v>10000000</v>
      </c>
      <c r="AV98" s="107">
        <f t="shared" si="87"/>
        <v>10000000</v>
      </c>
      <c r="AW98" s="107">
        <f t="shared" si="87"/>
        <v>10000000</v>
      </c>
      <c r="AX98" s="107">
        <f t="shared" si="87"/>
        <v>10000000</v>
      </c>
      <c r="AY98" s="107">
        <f t="shared" si="87"/>
        <v>10000000</v>
      </c>
      <c r="AZ98" s="107">
        <f t="shared" si="87"/>
        <v>10000000</v>
      </c>
      <c r="BA98" s="107">
        <f t="shared" ref="BA98:BA106" si="88">SUM(AG98:AZ98)</f>
        <v>90000000</v>
      </c>
    </row>
    <row r="99" spans="1:53">
      <c r="B99" s="1" t="s">
        <v>13</v>
      </c>
      <c r="C99" s="65">
        <f>+C90</f>
        <v>0</v>
      </c>
      <c r="D99" s="65">
        <f t="shared" ref="D99:J99" si="89">+D90</f>
        <v>600000000</v>
      </c>
      <c r="E99" s="65">
        <f t="shared" si="89"/>
        <v>900000000</v>
      </c>
      <c r="F99" s="65">
        <f t="shared" si="89"/>
        <v>910000000</v>
      </c>
      <c r="G99" s="65">
        <f t="shared" si="89"/>
        <v>920000000</v>
      </c>
      <c r="H99" s="65">
        <f t="shared" si="89"/>
        <v>930000000</v>
      </c>
      <c r="I99" s="65">
        <f t="shared" si="89"/>
        <v>940000000</v>
      </c>
      <c r="J99" s="65">
        <f t="shared" si="89"/>
        <v>950000000</v>
      </c>
      <c r="K99" s="65">
        <f>+K90</f>
        <v>960000000</v>
      </c>
      <c r="L99" s="160">
        <f>$K$99</f>
        <v>960000000</v>
      </c>
      <c r="M99" s="160">
        <f t="shared" ref="M99:W99" si="90">$K$99</f>
        <v>960000000</v>
      </c>
      <c r="N99" s="160">
        <f t="shared" si="90"/>
        <v>960000000</v>
      </c>
      <c r="O99" s="160">
        <f t="shared" si="90"/>
        <v>960000000</v>
      </c>
      <c r="P99" s="160">
        <f t="shared" si="90"/>
        <v>960000000</v>
      </c>
      <c r="Q99" s="160">
        <f t="shared" si="90"/>
        <v>960000000</v>
      </c>
      <c r="R99" s="160">
        <f t="shared" si="90"/>
        <v>960000000</v>
      </c>
      <c r="S99" s="160">
        <f t="shared" si="90"/>
        <v>960000000</v>
      </c>
      <c r="T99" s="160">
        <f t="shared" si="90"/>
        <v>960000000</v>
      </c>
      <c r="U99" s="160">
        <f t="shared" si="90"/>
        <v>960000000</v>
      </c>
      <c r="V99" s="160">
        <f t="shared" si="90"/>
        <v>960000000</v>
      </c>
      <c r="W99" s="160">
        <f t="shared" si="90"/>
        <v>960000000</v>
      </c>
      <c r="Z99" s="162" t="s">
        <v>139</v>
      </c>
      <c r="AA99" s="163">
        <f>SUM(C14:K14)</f>
        <v>19200000000</v>
      </c>
      <c r="AB99" s="162"/>
      <c r="AD99" s="1"/>
      <c r="AE99" s="106">
        <v>48944.25</v>
      </c>
      <c r="AF99" s="67">
        <v>200000000</v>
      </c>
      <c r="AG99" s="107"/>
      <c r="AH99" s="107"/>
      <c r="AI99" s="107"/>
      <c r="AJ99" s="107"/>
      <c r="AK99" s="107"/>
      <c r="AL99" s="107"/>
      <c r="AM99" s="107"/>
      <c r="AN99" s="107"/>
      <c r="AO99" s="107"/>
      <c r="AP99" s="107"/>
      <c r="AQ99" s="107"/>
      <c r="AR99" s="107"/>
      <c r="AS99" s="107">
        <f t="shared" ref="AS99:AZ99" si="91">$AF99/20</f>
        <v>10000000</v>
      </c>
      <c r="AT99" s="107">
        <f t="shared" si="91"/>
        <v>10000000</v>
      </c>
      <c r="AU99" s="107">
        <f t="shared" si="91"/>
        <v>10000000</v>
      </c>
      <c r="AV99" s="107">
        <f t="shared" si="91"/>
        <v>10000000</v>
      </c>
      <c r="AW99" s="107">
        <f t="shared" si="91"/>
        <v>10000000</v>
      </c>
      <c r="AX99" s="107">
        <f t="shared" si="91"/>
        <v>10000000</v>
      </c>
      <c r="AY99" s="107">
        <f t="shared" si="91"/>
        <v>10000000</v>
      </c>
      <c r="AZ99" s="107">
        <f t="shared" si="91"/>
        <v>10000000</v>
      </c>
      <c r="BA99" s="107">
        <f t="shared" si="88"/>
        <v>80000000</v>
      </c>
    </row>
    <row r="100" spans="1:53">
      <c r="B100" s="12" t="s">
        <v>19</v>
      </c>
      <c r="C100" s="65">
        <v>0</v>
      </c>
      <c r="D100" s="65">
        <f t="shared" ref="D100" si="92">+-D93+C93</f>
        <v>0</v>
      </c>
      <c r="E100" s="65">
        <f>+-E93+D93</f>
        <v>0</v>
      </c>
      <c r="F100" s="65">
        <f>+F93-E93</f>
        <v>3066000000</v>
      </c>
      <c r="G100" s="65">
        <f>+G93-F93</f>
        <v>1434000000</v>
      </c>
      <c r="H100" s="65">
        <f t="shared" ref="H100:K100" si="93">+H93-G93</f>
        <v>518000000</v>
      </c>
      <c r="I100" s="65">
        <f t="shared" si="93"/>
        <v>-386000000</v>
      </c>
      <c r="J100" s="65">
        <f t="shared" si="93"/>
        <v>868500000</v>
      </c>
      <c r="K100" s="65">
        <f t="shared" si="93"/>
        <v>0</v>
      </c>
      <c r="L100" s="8"/>
      <c r="M100" s="8"/>
      <c r="N100" s="8"/>
      <c r="O100" s="8"/>
      <c r="P100" s="8"/>
      <c r="Q100" s="1"/>
      <c r="Z100" s="162" t="s">
        <v>140</v>
      </c>
      <c r="AA100" s="163">
        <f>SUM(D99:W99)</f>
        <v>18630000000</v>
      </c>
      <c r="AB100" s="162"/>
      <c r="AD100" s="1"/>
      <c r="AE100" s="106">
        <v>49309.5</v>
      </c>
      <c r="AF100" s="67">
        <v>200000000</v>
      </c>
      <c r="AG100" s="107"/>
      <c r="AH100" s="107"/>
      <c r="AI100" s="107"/>
      <c r="AJ100" s="107"/>
      <c r="AK100" s="107"/>
      <c r="AL100" s="107"/>
      <c r="AM100" s="107"/>
      <c r="AN100" s="107"/>
      <c r="AO100" s="107"/>
      <c r="AP100" s="107"/>
      <c r="AQ100" s="107"/>
      <c r="AR100" s="107"/>
      <c r="AS100" s="107"/>
      <c r="AT100" s="107">
        <f t="shared" ref="AT100:AZ100" si="94">$AF100/20</f>
        <v>10000000</v>
      </c>
      <c r="AU100" s="107">
        <f t="shared" si="94"/>
        <v>10000000</v>
      </c>
      <c r="AV100" s="107">
        <f t="shared" si="94"/>
        <v>10000000</v>
      </c>
      <c r="AW100" s="107">
        <f t="shared" si="94"/>
        <v>10000000</v>
      </c>
      <c r="AX100" s="107">
        <f t="shared" si="94"/>
        <v>10000000</v>
      </c>
      <c r="AY100" s="107">
        <f t="shared" si="94"/>
        <v>10000000</v>
      </c>
      <c r="AZ100" s="107">
        <f t="shared" si="94"/>
        <v>10000000</v>
      </c>
      <c r="BA100" s="107">
        <f t="shared" si="88"/>
        <v>70000000</v>
      </c>
    </row>
    <row r="101" spans="1:53">
      <c r="B101" s="1" t="s">
        <v>20</v>
      </c>
      <c r="C101" s="65">
        <f t="shared" ref="C101:K101" si="95">+C14</f>
        <v>7000000000</v>
      </c>
      <c r="D101" s="65">
        <f t="shared" si="95"/>
        <v>5000000000</v>
      </c>
      <c r="E101" s="65">
        <f t="shared" si="95"/>
        <v>6000000000</v>
      </c>
      <c r="F101" s="65">
        <f t="shared" si="95"/>
        <v>200000000</v>
      </c>
      <c r="G101" s="65">
        <f t="shared" si="95"/>
        <v>200000000</v>
      </c>
      <c r="H101" s="65">
        <f t="shared" si="95"/>
        <v>200000000</v>
      </c>
      <c r="I101" s="65">
        <f t="shared" si="95"/>
        <v>200000000</v>
      </c>
      <c r="J101" s="65">
        <f t="shared" si="95"/>
        <v>200000000</v>
      </c>
      <c r="K101" s="65">
        <f t="shared" si="95"/>
        <v>200000000</v>
      </c>
      <c r="L101" s="8"/>
      <c r="M101" s="8"/>
      <c r="N101" s="8"/>
      <c r="O101" s="8"/>
      <c r="P101" s="8"/>
      <c r="Q101" s="1"/>
      <c r="X101" s="100">
        <f>-BA109</f>
        <v>-2190000000</v>
      </c>
      <c r="Y101" s="100"/>
      <c r="Z101" s="162" t="s">
        <v>141</v>
      </c>
      <c r="AA101" s="163">
        <f>+AA99-AA100</f>
        <v>570000000</v>
      </c>
      <c r="AB101" s="169">
        <v>-570000000</v>
      </c>
      <c r="AD101" s="1"/>
      <c r="AE101" s="106">
        <v>49674.75</v>
      </c>
      <c r="AF101" s="67">
        <v>200000000</v>
      </c>
      <c r="AG101" s="107"/>
      <c r="AH101" s="107"/>
      <c r="AI101" s="107"/>
      <c r="AJ101" s="107"/>
      <c r="AK101" s="107"/>
      <c r="AL101" s="107"/>
      <c r="AM101" s="107"/>
      <c r="AN101" s="107"/>
      <c r="AO101" s="107"/>
      <c r="AP101" s="107"/>
      <c r="AQ101" s="107"/>
      <c r="AR101" s="107"/>
      <c r="AS101" s="107"/>
      <c r="AT101" s="107"/>
      <c r="AU101" s="107">
        <f t="shared" ref="AU101:AZ101" si="96">$AF101/20</f>
        <v>10000000</v>
      </c>
      <c r="AV101" s="107">
        <f t="shared" si="96"/>
        <v>10000000</v>
      </c>
      <c r="AW101" s="107">
        <f t="shared" si="96"/>
        <v>10000000</v>
      </c>
      <c r="AX101" s="107">
        <f t="shared" si="96"/>
        <v>10000000</v>
      </c>
      <c r="AY101" s="107">
        <f t="shared" si="96"/>
        <v>10000000</v>
      </c>
      <c r="AZ101" s="107">
        <f t="shared" si="96"/>
        <v>10000000</v>
      </c>
      <c r="BA101" s="107">
        <f t="shared" si="88"/>
        <v>60000000</v>
      </c>
    </row>
    <row r="102" spans="1:53">
      <c r="B102" s="1"/>
      <c r="C102" s="8"/>
      <c r="D102" s="8"/>
      <c r="E102" s="8"/>
      <c r="F102" s="8"/>
      <c r="G102" s="8"/>
      <c r="H102" s="8"/>
      <c r="I102" s="8"/>
      <c r="J102" s="8"/>
      <c r="K102" s="8"/>
      <c r="L102" s="8"/>
      <c r="M102" s="8"/>
      <c r="N102" s="8"/>
      <c r="O102" s="8"/>
      <c r="P102" s="8"/>
      <c r="Q102" s="1"/>
      <c r="Z102" s="163"/>
      <c r="AA102" s="163"/>
      <c r="AB102" s="163"/>
      <c r="AD102" s="1"/>
      <c r="AE102" s="106">
        <v>50040</v>
      </c>
      <c r="AF102" s="67">
        <v>200000000</v>
      </c>
      <c r="AG102" s="107"/>
      <c r="AH102" s="107"/>
      <c r="AI102" s="107"/>
      <c r="AJ102" s="107"/>
      <c r="AK102" s="107"/>
      <c r="AL102" s="107"/>
      <c r="AM102" s="107"/>
      <c r="AN102" s="107"/>
      <c r="AO102" s="107"/>
      <c r="AP102" s="107"/>
      <c r="AQ102" s="107"/>
      <c r="AR102" s="107"/>
      <c r="AS102" s="107"/>
      <c r="AT102" s="107"/>
      <c r="AU102" s="107"/>
      <c r="AV102" s="107">
        <f>$AF102/20</f>
        <v>10000000</v>
      </c>
      <c r="AW102" s="107">
        <f>$AF102/20</f>
        <v>10000000</v>
      </c>
      <c r="AX102" s="107">
        <f>$AF102/20</f>
        <v>10000000</v>
      </c>
      <c r="AY102" s="107">
        <f>$AF102/20</f>
        <v>10000000</v>
      </c>
      <c r="AZ102" s="107">
        <f>$AF102/20</f>
        <v>10000000</v>
      </c>
      <c r="BA102" s="107">
        <f t="shared" si="88"/>
        <v>50000000</v>
      </c>
    </row>
    <row r="103" spans="1:53">
      <c r="B103" s="94" t="s">
        <v>21</v>
      </c>
      <c r="C103" s="151">
        <f>C97+C99-C100-C101</f>
        <v>-7000000000</v>
      </c>
      <c r="D103" s="151">
        <f t="shared" ref="D103:K103" si="97">D97+D99-D100-D101</f>
        <v>-5203967900</v>
      </c>
      <c r="E103" s="151">
        <f>E97+E99-E100-E101</f>
        <v>-6479935800</v>
      </c>
      <c r="F103" s="151">
        <f t="shared" si="97"/>
        <v>-706176800</v>
      </c>
      <c r="G103" s="151">
        <f t="shared" si="97"/>
        <v>4130335760</v>
      </c>
      <c r="H103" s="151">
        <f t="shared" si="97"/>
        <v>7347457600</v>
      </c>
      <c r="I103" s="151">
        <f t="shared" si="97"/>
        <v>10505173300</v>
      </c>
      <c r="J103" s="151">
        <f t="shared" si="97"/>
        <v>11497108200</v>
      </c>
      <c r="K103" s="151">
        <f t="shared" si="97"/>
        <v>12207327100</v>
      </c>
      <c r="L103" s="151">
        <f>K103*(1+$C$43)</f>
        <v>12573546913</v>
      </c>
      <c r="M103" s="151">
        <f t="shared" ref="M103:W103" si="98">L103*(1+$C$43)</f>
        <v>12950753320.389999</v>
      </c>
      <c r="N103" s="151">
        <f t="shared" si="98"/>
        <v>13339275920.001699</v>
      </c>
      <c r="O103" s="151">
        <f t="shared" si="98"/>
        <v>13739454197.601751</v>
      </c>
      <c r="P103" s="151">
        <f t="shared" si="98"/>
        <v>14151637823.529804</v>
      </c>
      <c r="Q103" s="151">
        <f t="shared" si="98"/>
        <v>14576186958.235699</v>
      </c>
      <c r="R103" s="151">
        <f t="shared" si="98"/>
        <v>15013472566.982771</v>
      </c>
      <c r="S103" s="151">
        <f t="shared" si="98"/>
        <v>15463876743.992254</v>
      </c>
      <c r="T103" s="151">
        <f t="shared" si="98"/>
        <v>15927793046.312023</v>
      </c>
      <c r="U103" s="151">
        <f t="shared" si="98"/>
        <v>16405626837.701384</v>
      </c>
      <c r="V103" s="151">
        <f t="shared" si="98"/>
        <v>16897795642.832426</v>
      </c>
      <c r="W103" s="151">
        <f t="shared" si="98"/>
        <v>17404729512.117401</v>
      </c>
      <c r="X103" s="151">
        <f>-X101</f>
        <v>2190000000</v>
      </c>
      <c r="Y103" s="75"/>
      <c r="Z103" s="162"/>
      <c r="AA103" s="162"/>
      <c r="AB103" s="170">
        <v>570000000</v>
      </c>
      <c r="AD103" s="1"/>
      <c r="AE103" s="106">
        <v>50405.25</v>
      </c>
      <c r="AF103" s="67">
        <v>200000000</v>
      </c>
      <c r="AG103" s="107"/>
      <c r="AH103" s="107"/>
      <c r="AI103" s="107"/>
      <c r="AJ103" s="107"/>
      <c r="AK103" s="107"/>
      <c r="AL103" s="107"/>
      <c r="AM103" s="107"/>
      <c r="AN103" s="107"/>
      <c r="AO103" s="107"/>
      <c r="AP103" s="107"/>
      <c r="AQ103" s="107"/>
      <c r="AR103" s="107"/>
      <c r="AS103" s="107"/>
      <c r="AT103" s="107"/>
      <c r="AU103" s="107"/>
      <c r="AV103" s="107"/>
      <c r="AW103" s="107">
        <f>$AF103/20</f>
        <v>10000000</v>
      </c>
      <c r="AX103" s="107">
        <f>$AF103/20</f>
        <v>10000000</v>
      </c>
      <c r="AY103" s="107">
        <f>$AF103/20</f>
        <v>10000000</v>
      </c>
      <c r="AZ103" s="107">
        <f>$AF103/20</f>
        <v>10000000</v>
      </c>
      <c r="BA103" s="107">
        <f t="shared" si="88"/>
        <v>40000000</v>
      </c>
    </row>
    <row r="104" spans="1:53" s="1" customFormat="1">
      <c r="C104" s="8"/>
      <c r="D104" s="8"/>
      <c r="E104" s="8"/>
      <c r="F104" s="8"/>
      <c r="G104" s="8"/>
      <c r="H104" s="8"/>
      <c r="I104" s="8"/>
      <c r="J104" s="8"/>
      <c r="K104" s="8"/>
      <c r="L104" s="8"/>
      <c r="M104" s="8"/>
      <c r="N104" s="8"/>
      <c r="O104" s="8"/>
      <c r="P104" s="8"/>
      <c r="Z104" s="164"/>
      <c r="AA104" s="164"/>
      <c r="AB104" s="164"/>
      <c r="AE104" s="106">
        <v>50770.5</v>
      </c>
      <c r="AF104" s="67">
        <v>200000000</v>
      </c>
      <c r="AG104" s="107"/>
      <c r="AH104" s="107"/>
      <c r="AI104" s="107"/>
      <c r="AJ104" s="107"/>
      <c r="AK104" s="107"/>
      <c r="AL104" s="107"/>
      <c r="AM104" s="107"/>
      <c r="AN104" s="107"/>
      <c r="AO104" s="107"/>
      <c r="AP104" s="107"/>
      <c r="AQ104" s="107"/>
      <c r="AR104" s="107"/>
      <c r="AS104" s="107"/>
      <c r="AT104" s="107"/>
      <c r="AU104" s="107"/>
      <c r="AV104" s="107"/>
      <c r="AW104" s="107"/>
      <c r="AX104" s="107">
        <f>$AF104/20</f>
        <v>10000000</v>
      </c>
      <c r="AY104" s="107">
        <f>$AF104/20</f>
        <v>10000000</v>
      </c>
      <c r="AZ104" s="107">
        <f>$AF104/20</f>
        <v>10000000</v>
      </c>
      <c r="BA104" s="107">
        <f t="shared" si="88"/>
        <v>30000000</v>
      </c>
    </row>
    <row r="105" spans="1:53" s="1" customFormat="1">
      <c r="B105" s="31" t="s">
        <v>26</v>
      </c>
      <c r="C105" s="65">
        <f>+C103</f>
        <v>-7000000000</v>
      </c>
      <c r="D105" s="65">
        <f>+D103+C105</f>
        <v>-12203967900</v>
      </c>
      <c r="E105" s="65">
        <f t="shared" ref="E105:O105" si="99">+E103+D105</f>
        <v>-18683903700</v>
      </c>
      <c r="F105" s="65">
        <f t="shared" si="99"/>
        <v>-19390080500</v>
      </c>
      <c r="G105" s="65">
        <f t="shared" si="99"/>
        <v>-15259744740</v>
      </c>
      <c r="H105" s="65">
        <f t="shared" si="99"/>
        <v>-7912287140</v>
      </c>
      <c r="I105" s="65">
        <f t="shared" si="99"/>
        <v>2592886160</v>
      </c>
      <c r="J105" s="65">
        <f t="shared" si="99"/>
        <v>14089994360</v>
      </c>
      <c r="K105" s="65">
        <f t="shared" si="99"/>
        <v>26297321460</v>
      </c>
      <c r="L105" s="65">
        <f t="shared" si="99"/>
        <v>38870868373</v>
      </c>
      <c r="M105" s="65">
        <f t="shared" si="99"/>
        <v>51821621693.389999</v>
      </c>
      <c r="N105" s="65">
        <f t="shared" si="99"/>
        <v>65160897613.391701</v>
      </c>
      <c r="O105" s="65">
        <f t="shared" si="99"/>
        <v>78900351810.993454</v>
      </c>
      <c r="P105" s="65">
        <f>+P103+O105</f>
        <v>93051989634.523254</v>
      </c>
      <c r="Q105" s="65">
        <f t="shared" ref="Q105:W105" si="100">+Q103+P105</f>
        <v>107628176592.75896</v>
      </c>
      <c r="R105" s="65">
        <f t="shared" si="100"/>
        <v>122641649159.74173</v>
      </c>
      <c r="S105" s="65">
        <f t="shared" si="100"/>
        <v>138105525903.73398</v>
      </c>
      <c r="T105" s="65">
        <f t="shared" si="100"/>
        <v>154033318950.04599</v>
      </c>
      <c r="U105" s="65">
        <f t="shared" si="100"/>
        <v>170438945787.74738</v>
      </c>
      <c r="V105" s="65">
        <f t="shared" si="100"/>
        <v>187336741430.5798</v>
      </c>
      <c r="W105" s="65">
        <f t="shared" si="100"/>
        <v>204741470942.6972</v>
      </c>
      <c r="X105" s="65">
        <f>+X103+W105</f>
        <v>206931470942.6972</v>
      </c>
      <c r="Y105" s="65"/>
      <c r="Z105" s="162"/>
      <c r="AA105" s="162"/>
      <c r="AB105" s="169">
        <f>+W105+AB103</f>
        <v>205311470942.6972</v>
      </c>
      <c r="AE105" s="106">
        <v>51135.75</v>
      </c>
      <c r="AF105" s="67">
        <v>200000000</v>
      </c>
      <c r="AG105" s="107"/>
      <c r="AH105" s="107"/>
      <c r="AI105" s="107"/>
      <c r="AJ105" s="107"/>
      <c r="AK105" s="107"/>
      <c r="AL105" s="107"/>
      <c r="AM105" s="107"/>
      <c r="AN105" s="107"/>
      <c r="AO105" s="107"/>
      <c r="AP105" s="107"/>
      <c r="AQ105" s="107"/>
      <c r="AR105" s="107"/>
      <c r="AS105" s="107"/>
      <c r="AT105" s="107"/>
      <c r="AU105" s="107"/>
      <c r="AV105" s="107"/>
      <c r="AW105" s="107"/>
      <c r="AX105" s="107"/>
      <c r="AY105" s="107">
        <f>$AF105/20</f>
        <v>10000000</v>
      </c>
      <c r="AZ105" s="107">
        <f>$AF105/20</f>
        <v>10000000</v>
      </c>
      <c r="BA105" s="107">
        <f t="shared" si="88"/>
        <v>20000000</v>
      </c>
    </row>
    <row r="106" spans="1:53" s="1" customFormat="1" ht="15.75">
      <c r="B106" s="32"/>
      <c r="C106" s="8"/>
      <c r="D106" s="8"/>
      <c r="E106" s="8"/>
      <c r="F106" s="8"/>
      <c r="G106" s="8"/>
      <c r="H106" s="8"/>
      <c r="I106" s="8"/>
      <c r="J106" s="8"/>
      <c r="K106" s="8"/>
      <c r="L106" s="8"/>
      <c r="M106" s="8"/>
      <c r="N106" s="8"/>
      <c r="O106" s="8"/>
      <c r="P106" s="8"/>
      <c r="Z106" s="160"/>
      <c r="AA106" s="160"/>
      <c r="AB106" s="160"/>
      <c r="AE106" s="106">
        <v>51501</v>
      </c>
      <c r="AF106" s="67">
        <v>200000000</v>
      </c>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f>$AF106/20</f>
        <v>10000000</v>
      </c>
      <c r="BA106" s="107">
        <f t="shared" si="88"/>
        <v>10000000</v>
      </c>
    </row>
    <row r="107" spans="1:53" s="1" customFormat="1">
      <c r="B107" s="31" t="s">
        <v>25</v>
      </c>
      <c r="C107" s="65">
        <f t="shared" ref="C107:O107" si="101">+C103/((1+wacc)^C95)</f>
        <v>-7000000000</v>
      </c>
      <c r="D107" s="65">
        <f t="shared" si="101"/>
        <v>-4629041006.9382668</v>
      </c>
      <c r="E107" s="65">
        <f t="shared" si="101"/>
        <v>-5127238754.2319508</v>
      </c>
      <c r="F107" s="65">
        <f t="shared" si="101"/>
        <v>-497030114.25024885</v>
      </c>
      <c r="G107" s="65">
        <f t="shared" si="101"/>
        <v>2585895876.2794223</v>
      </c>
      <c r="H107" s="65">
        <f t="shared" si="101"/>
        <v>4091845090.4736352</v>
      </c>
      <c r="I107" s="65">
        <f t="shared" si="101"/>
        <v>5204053293.9260712</v>
      </c>
      <c r="J107" s="65">
        <f t="shared" si="101"/>
        <v>5066214246.6718159</v>
      </c>
      <c r="K107" s="65">
        <f t="shared" si="101"/>
        <v>4784889734.9535589</v>
      </c>
      <c r="L107" s="65">
        <f t="shared" si="101"/>
        <v>4383949855.0099325</v>
      </c>
      <c r="M107" s="65">
        <f t="shared" si="101"/>
        <v>4016605898.114418</v>
      </c>
      <c r="N107" s="65">
        <f t="shared" si="101"/>
        <v>3680042763.7945657</v>
      </c>
      <c r="O107" s="65">
        <f t="shared" si="101"/>
        <v>3371681237.0649366</v>
      </c>
      <c r="P107" s="65">
        <f t="shared" ref="P107:X107" si="102">+P103/((1+wacc)^P95)</f>
        <v>3089158222.8935103</v>
      </c>
      <c r="Q107" s="65">
        <f t="shared" si="102"/>
        <v>2830308636.8798394</v>
      </c>
      <c r="R107" s="65">
        <f t="shared" si="102"/>
        <v>2593148813.366158</v>
      </c>
      <c r="S107" s="65">
        <f t="shared" si="102"/>
        <v>2375861303.831295</v>
      </c>
      <c r="T107" s="65">
        <f t="shared" si="102"/>
        <v>2176780949.071548</v>
      </c>
      <c r="U107" s="65">
        <f t="shared" si="102"/>
        <v>1994382118.4341698</v>
      </c>
      <c r="V107" s="65">
        <f t="shared" si="102"/>
        <v>1827267018.3127515</v>
      </c>
      <c r="W107" s="65">
        <f t="shared" si="102"/>
        <v>1674154980.3078935</v>
      </c>
      <c r="X107" s="65">
        <f t="shared" si="102"/>
        <v>187382450.75621969</v>
      </c>
      <c r="Y107" s="65"/>
      <c r="Z107" s="162"/>
      <c r="AA107" s="162"/>
      <c r="AB107" s="162">
        <v>48770774.854358546</v>
      </c>
      <c r="AF107" s="100">
        <f t="shared" ref="AF107:BA107" si="103">SUM(AF86:AF106)</f>
        <v>21600000000</v>
      </c>
      <c r="AG107" s="100">
        <f t="shared" si="103"/>
        <v>600000000</v>
      </c>
      <c r="AH107" s="100">
        <f t="shared" si="103"/>
        <v>900000000</v>
      </c>
      <c r="AI107" s="100">
        <f t="shared" si="103"/>
        <v>910000000</v>
      </c>
      <c r="AJ107" s="100">
        <f t="shared" si="103"/>
        <v>920000000</v>
      </c>
      <c r="AK107" s="100">
        <f t="shared" si="103"/>
        <v>930000000</v>
      </c>
      <c r="AL107" s="100">
        <f t="shared" si="103"/>
        <v>940000000</v>
      </c>
      <c r="AM107" s="100">
        <f t="shared" si="103"/>
        <v>950000000</v>
      </c>
      <c r="AN107" s="100">
        <f t="shared" si="103"/>
        <v>960000000</v>
      </c>
      <c r="AO107" s="100">
        <f t="shared" si="103"/>
        <v>970000000</v>
      </c>
      <c r="AP107" s="100">
        <f t="shared" si="103"/>
        <v>980000000</v>
      </c>
      <c r="AQ107" s="100">
        <f t="shared" si="103"/>
        <v>990000000</v>
      </c>
      <c r="AR107" s="100">
        <f t="shared" si="103"/>
        <v>1000000000</v>
      </c>
      <c r="AS107" s="100">
        <f t="shared" si="103"/>
        <v>1010000000</v>
      </c>
      <c r="AT107" s="100">
        <f t="shared" si="103"/>
        <v>1020000000</v>
      </c>
      <c r="AU107" s="100">
        <f t="shared" si="103"/>
        <v>1030000000</v>
      </c>
      <c r="AV107" s="100">
        <f t="shared" si="103"/>
        <v>1040000000</v>
      </c>
      <c r="AW107" s="100">
        <f t="shared" si="103"/>
        <v>1050000000</v>
      </c>
      <c r="AX107" s="100">
        <f t="shared" si="103"/>
        <v>1060000000</v>
      </c>
      <c r="AY107" s="100">
        <f t="shared" si="103"/>
        <v>1070000000</v>
      </c>
      <c r="AZ107" s="100">
        <f t="shared" si="103"/>
        <v>1080000000</v>
      </c>
      <c r="BA107" s="100">
        <f t="shared" si="103"/>
        <v>19410000000</v>
      </c>
    </row>
    <row r="108" spans="1:53" s="1" customFormat="1">
      <c r="B108" s="31" t="s">
        <v>27</v>
      </c>
      <c r="C108" s="65">
        <f>+C107</f>
        <v>-7000000000</v>
      </c>
      <c r="D108" s="65">
        <f>+D107+C108</f>
        <v>-11629041006.938267</v>
      </c>
      <c r="E108" s="65">
        <f t="shared" ref="E108" si="104">+E107+D108</f>
        <v>-16756279761.170218</v>
      </c>
      <c r="F108" s="65">
        <f t="shared" ref="F108" si="105">+F107+E108</f>
        <v>-17253309875.420467</v>
      </c>
      <c r="G108" s="65">
        <f t="shared" ref="G108" si="106">+G107+F108</f>
        <v>-14667413999.141045</v>
      </c>
      <c r="H108" s="65">
        <f t="shared" ref="H108" si="107">+H107+G108</f>
        <v>-10575568908.66741</v>
      </c>
      <c r="I108" s="65">
        <f t="shared" ref="I108" si="108">+I107+H108</f>
        <v>-5371515614.7413387</v>
      </c>
      <c r="J108" s="65">
        <f t="shared" ref="J108" si="109">+J107+I108</f>
        <v>-305301368.06952286</v>
      </c>
      <c r="K108" s="65">
        <f t="shared" ref="K108" si="110">+K107+J108</f>
        <v>4479588366.8840361</v>
      </c>
      <c r="L108" s="65">
        <f t="shared" ref="L108" si="111">+L107+K108</f>
        <v>8863538221.8939686</v>
      </c>
      <c r="M108" s="65">
        <f t="shared" ref="M108" si="112">+M107+L108</f>
        <v>12880144120.008387</v>
      </c>
      <c r="N108" s="65">
        <f t="shared" ref="N108" si="113">+N107+M108</f>
        <v>16560186883.802952</v>
      </c>
      <c r="O108" s="65">
        <f t="shared" ref="O108" si="114">+O107+N108</f>
        <v>19931868120.867889</v>
      </c>
      <c r="P108" s="65">
        <f>+P107+O108</f>
        <v>23021026343.761398</v>
      </c>
      <c r="Q108" s="65">
        <f t="shared" ref="Q108:W108" si="115">+Q107+P108</f>
        <v>25851334980.641239</v>
      </c>
      <c r="R108" s="65">
        <f t="shared" si="115"/>
        <v>28444483794.007397</v>
      </c>
      <c r="S108" s="65">
        <f t="shared" si="115"/>
        <v>30820345097.838692</v>
      </c>
      <c r="T108" s="65">
        <f t="shared" si="115"/>
        <v>32997126046.91024</v>
      </c>
      <c r="U108" s="65">
        <f t="shared" si="115"/>
        <v>34991508165.344406</v>
      </c>
      <c r="V108" s="65">
        <f t="shared" si="115"/>
        <v>36818775183.657158</v>
      </c>
      <c r="W108" s="65">
        <f t="shared" si="115"/>
        <v>38492930163.96505</v>
      </c>
      <c r="X108" s="65">
        <f>+X107+W108</f>
        <v>38680312614.721268</v>
      </c>
      <c r="Y108" s="65"/>
      <c r="Z108" s="160"/>
      <c r="AA108" s="160"/>
      <c r="AB108" s="160">
        <v>38541700938.819405</v>
      </c>
    </row>
    <row r="109" spans="1:53" s="1" customFormat="1">
      <c r="C109" s="8"/>
      <c r="E109" s="8"/>
      <c r="F109" s="8"/>
      <c r="G109" s="8"/>
      <c r="H109" s="8"/>
      <c r="I109" s="8"/>
      <c r="J109" s="8"/>
      <c r="K109" s="8"/>
      <c r="L109" s="8"/>
      <c r="M109" s="8"/>
      <c r="N109" s="8"/>
      <c r="O109" s="8"/>
      <c r="P109" s="8"/>
      <c r="Z109" s="150"/>
      <c r="AA109" s="150"/>
      <c r="AB109" s="150"/>
      <c r="AZ109" s="1" t="s">
        <v>83</v>
      </c>
      <c r="BA109" s="100">
        <f>AF107-BA107</f>
        <v>2190000000</v>
      </c>
    </row>
    <row r="110" spans="1:53" s="1" customFormat="1">
      <c r="A110" s="56" t="s">
        <v>39</v>
      </c>
      <c r="B110" s="33" t="s">
        <v>23</v>
      </c>
      <c r="C110" s="154">
        <f>+I95+I105/-I103</f>
        <v>5.7531800679575653</v>
      </c>
      <c r="D110" s="171">
        <f>H95+(-H105/I103)</f>
        <v>5.7531800679575653</v>
      </c>
      <c r="E110" s="35">
        <f>+C110</f>
        <v>5.7531800679575653</v>
      </c>
      <c r="J110" s="8"/>
      <c r="K110" s="8"/>
      <c r="L110" s="8"/>
      <c r="M110" s="8"/>
      <c r="N110" s="8"/>
      <c r="O110" s="8"/>
      <c r="P110" s="8"/>
    </row>
    <row r="111" spans="1:53" s="1" customFormat="1">
      <c r="A111" s="56" t="s">
        <v>40</v>
      </c>
      <c r="B111" s="33" t="s">
        <v>24</v>
      </c>
      <c r="C111" s="154">
        <f>+K95+K108/-K107</f>
        <v>7.0638053089999753</v>
      </c>
      <c r="D111" s="171">
        <f>J95+(-J108/K107)</f>
        <v>7.0638053089999753</v>
      </c>
      <c r="E111" s="35">
        <f>+C111</f>
        <v>7.0638053089999753</v>
      </c>
      <c r="F111" s="37" t="s">
        <v>82</v>
      </c>
      <c r="J111" s="8"/>
      <c r="K111" s="8"/>
      <c r="L111" s="8"/>
      <c r="M111" s="8"/>
      <c r="N111" s="8"/>
      <c r="O111" s="8"/>
      <c r="P111" s="8"/>
    </row>
    <row r="112" spans="1:53" s="1" customFormat="1">
      <c r="A112" s="56" t="s">
        <v>41</v>
      </c>
      <c r="B112" s="33" t="s">
        <v>65</v>
      </c>
      <c r="C112" s="72">
        <f>+NPV(wacc,D103:X103)+C103</f>
        <v>38680312614.721298</v>
      </c>
      <c r="D112" s="182">
        <f>SUM(C107:X107)</f>
        <v>38680312614.721268</v>
      </c>
      <c r="E112" s="72">
        <f>X108</f>
        <v>38680312614.721268</v>
      </c>
      <c r="F112" s="37" t="s">
        <v>67</v>
      </c>
      <c r="I112" s="77"/>
      <c r="J112" s="145"/>
      <c r="K112" s="145"/>
      <c r="L112" s="8"/>
      <c r="M112" s="8"/>
      <c r="N112" s="8"/>
      <c r="O112" s="8"/>
      <c r="P112" s="8"/>
      <c r="AF112"/>
    </row>
    <row r="113" spans="1:53" s="1" customFormat="1">
      <c r="A113" s="56" t="s">
        <v>42</v>
      </c>
      <c r="B113" s="33" t="s">
        <v>66</v>
      </c>
      <c r="C113" s="36">
        <f>+IRR(C103:X103)</f>
        <v>0.28988789869801468</v>
      </c>
      <c r="D113" s="36"/>
      <c r="E113" s="36"/>
      <c r="F113" s="37" t="s">
        <v>68</v>
      </c>
      <c r="I113" s="77"/>
      <c r="J113" s="79"/>
      <c r="K113" s="79"/>
      <c r="L113" s="8"/>
      <c r="M113" s="8"/>
      <c r="N113" s="8"/>
      <c r="O113" s="8"/>
      <c r="P113" s="8"/>
      <c r="AE113"/>
      <c r="AF113"/>
      <c r="AG113"/>
      <c r="AH113"/>
      <c r="AI113"/>
      <c r="AJ113"/>
      <c r="AK113"/>
      <c r="AL113"/>
      <c r="AM113"/>
      <c r="AN113"/>
      <c r="AO113"/>
      <c r="AP113"/>
      <c r="AQ113"/>
      <c r="AR113"/>
      <c r="AS113"/>
      <c r="AT113"/>
      <c r="AU113"/>
      <c r="AV113"/>
      <c r="AW113"/>
      <c r="AX113"/>
      <c r="AY113"/>
      <c r="AZ113"/>
      <c r="BA113"/>
    </row>
    <row r="114" spans="1:53">
      <c r="B114" s="1"/>
      <c r="C114" s="8"/>
      <c r="D114" s="8"/>
      <c r="E114" s="8"/>
      <c r="F114" s="8"/>
      <c r="G114" s="8"/>
      <c r="H114" s="8"/>
      <c r="I114" s="153"/>
      <c r="J114" s="8"/>
      <c r="K114" s="8"/>
      <c r="L114" s="8"/>
      <c r="M114" s="8"/>
      <c r="N114" s="8"/>
      <c r="O114" s="8"/>
      <c r="P114" s="8"/>
      <c r="Q114" s="1"/>
      <c r="AF114" s="1"/>
    </row>
    <row r="115" spans="1:53" s="1" customFormat="1">
      <c r="B115" s="5" t="s">
        <v>32</v>
      </c>
      <c r="C115" s="65">
        <f t="shared" ref="C115:X115" si="116">+C103-C68</f>
        <v>-4000000000</v>
      </c>
      <c r="D115" s="65">
        <f t="shared" si="116"/>
        <v>-896727400</v>
      </c>
      <c r="E115" s="65">
        <f t="shared" si="116"/>
        <v>-2612407300</v>
      </c>
      <c r="F115" s="65">
        <f t="shared" si="116"/>
        <v>-1557351800</v>
      </c>
      <c r="G115" s="65">
        <f t="shared" si="116"/>
        <v>1202520560</v>
      </c>
      <c r="H115" s="65">
        <f t="shared" si="116"/>
        <v>3504975600</v>
      </c>
      <c r="I115" s="65">
        <f t="shared" si="116"/>
        <v>5573428550</v>
      </c>
      <c r="J115" s="65">
        <f t="shared" si="116"/>
        <v>7068491700</v>
      </c>
      <c r="K115" s="65">
        <f t="shared" si="116"/>
        <v>7511838850</v>
      </c>
      <c r="L115" s="65">
        <f t="shared" si="116"/>
        <v>7737194015.5</v>
      </c>
      <c r="M115" s="65">
        <f t="shared" si="116"/>
        <v>7969309835.9649992</v>
      </c>
      <c r="N115" s="65">
        <f t="shared" si="116"/>
        <v>8208389131.0439491</v>
      </c>
      <c r="O115" s="65">
        <f t="shared" si="116"/>
        <v>8454640804.9752684</v>
      </c>
      <c r="P115" s="65">
        <f t="shared" si="116"/>
        <v>8708280029.124527</v>
      </c>
      <c r="Q115" s="65">
        <f t="shared" si="116"/>
        <v>8969528429.9982643</v>
      </c>
      <c r="R115" s="65">
        <f t="shared" si="116"/>
        <v>9238614282.8982124</v>
      </c>
      <c r="S115" s="65">
        <f t="shared" si="116"/>
        <v>9515772711.3851585</v>
      </c>
      <c r="T115" s="65">
        <f t="shared" si="116"/>
        <v>9801245892.7267151</v>
      </c>
      <c r="U115" s="65">
        <f t="shared" si="116"/>
        <v>10095283269.508514</v>
      </c>
      <c r="V115" s="65">
        <f t="shared" si="116"/>
        <v>10398141767.593773</v>
      </c>
      <c r="W115" s="65">
        <f t="shared" si="116"/>
        <v>10710086020.621586</v>
      </c>
      <c r="X115" s="65">
        <f t="shared" si="116"/>
        <v>-820000000</v>
      </c>
      <c r="Y115" s="65"/>
      <c r="Z115" s="65"/>
      <c r="AA115" s="65"/>
    </row>
    <row r="116" spans="1:53" s="1" customFormat="1">
      <c r="B116" s="1" t="s">
        <v>84</v>
      </c>
      <c r="C116" s="13">
        <f>+IRR(C115:X115)</f>
        <v>0.32101823366990079</v>
      </c>
      <c r="D116" s="56" t="s">
        <v>38</v>
      </c>
      <c r="E116" s="8"/>
      <c r="F116" s="8"/>
      <c r="G116" s="8"/>
      <c r="H116" s="8"/>
      <c r="I116" s="8"/>
      <c r="J116" s="8"/>
      <c r="K116" s="8"/>
      <c r="L116" s="8"/>
      <c r="M116" s="8"/>
      <c r="N116" s="8"/>
      <c r="O116" s="8"/>
      <c r="P116" s="6"/>
    </row>
    <row r="117" spans="1:53" s="1" customFormat="1">
      <c r="D117" s="8"/>
      <c r="E117" s="8"/>
      <c r="F117" s="8"/>
      <c r="G117" s="8"/>
      <c r="H117" s="8"/>
      <c r="I117" s="8"/>
      <c r="J117" s="8"/>
      <c r="K117" s="8"/>
      <c r="L117" s="8"/>
      <c r="M117" s="8"/>
      <c r="N117" s="8"/>
      <c r="O117" s="8"/>
      <c r="P117" s="6"/>
    </row>
    <row r="118" spans="1:53" s="1" customFormat="1">
      <c r="C118" s="57">
        <v>2</v>
      </c>
      <c r="D118" s="1" t="s">
        <v>145</v>
      </c>
      <c r="E118" s="8"/>
      <c r="F118" s="8"/>
      <c r="G118" s="8"/>
      <c r="H118" s="8"/>
      <c r="I118" s="8"/>
      <c r="J118" s="8"/>
      <c r="K118" s="8"/>
      <c r="L118" s="8"/>
      <c r="M118" s="8"/>
      <c r="N118" s="8"/>
      <c r="O118" s="8"/>
      <c r="P118" s="6"/>
      <c r="AF118"/>
    </row>
    <row r="119" spans="1:53" s="1" customFormat="1">
      <c r="D119" s="1" t="s">
        <v>146</v>
      </c>
      <c r="E119" s="8"/>
      <c r="F119" s="8"/>
      <c r="G119" s="8"/>
      <c r="H119" s="8"/>
      <c r="I119" s="8"/>
      <c r="J119" s="8"/>
      <c r="K119" s="8"/>
      <c r="L119" s="8"/>
      <c r="M119" s="8"/>
      <c r="N119" s="8"/>
      <c r="O119" s="8"/>
      <c r="P119" s="6"/>
      <c r="AF119"/>
    </row>
    <row r="120" spans="1:53" s="1" customFormat="1">
      <c r="C120" s="6"/>
      <c r="D120" s="6"/>
      <c r="E120" s="6"/>
      <c r="F120" s="6"/>
      <c r="G120" s="6"/>
      <c r="H120" s="6"/>
      <c r="I120" s="6"/>
      <c r="J120" s="6"/>
      <c r="K120" s="6"/>
      <c r="L120" s="6"/>
      <c r="M120" s="6"/>
      <c r="N120" s="6"/>
      <c r="O120" s="6"/>
      <c r="P120" s="6"/>
    </row>
    <row r="121" spans="1:53">
      <c r="C121" s="57">
        <v>3</v>
      </c>
      <c r="D121" s="41" t="s">
        <v>147</v>
      </c>
    </row>
    <row r="122" spans="1:53">
      <c r="D122" s="41" t="s">
        <v>148</v>
      </c>
      <c r="M122" s="78"/>
      <c r="N122" s="78"/>
      <c r="O122" s="78"/>
      <c r="P122" s="78"/>
      <c r="Q122" s="80"/>
      <c r="R122" s="80"/>
      <c r="S122" s="80"/>
      <c r="T122" s="80"/>
      <c r="U122" s="80"/>
      <c r="V122" s="80"/>
      <c r="W122" s="80"/>
      <c r="X122" s="80"/>
      <c r="Y122" s="80"/>
      <c r="Z122" s="80"/>
      <c r="AA122" s="80"/>
      <c r="AE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s="1" customFormat="1">
      <c r="C123" s="6"/>
      <c r="D123" s="6" t="s">
        <v>79</v>
      </c>
      <c r="E123" s="6"/>
      <c r="F123" s="6"/>
      <c r="G123" s="6"/>
      <c r="H123" s="6"/>
      <c r="I123" s="6"/>
      <c r="J123" s="6"/>
      <c r="K123" s="6"/>
      <c r="L123" s="6"/>
      <c r="M123" s="78"/>
      <c r="N123" s="78"/>
      <c r="O123" s="78"/>
      <c r="P123" s="78"/>
      <c r="Q123" s="80"/>
      <c r="R123" s="80"/>
      <c r="S123" s="80"/>
      <c r="T123" s="80"/>
      <c r="U123" s="80"/>
      <c r="V123" s="80"/>
      <c r="W123" s="80"/>
      <c r="X123" s="80"/>
      <c r="Y123" s="80"/>
      <c r="Z123" s="80"/>
      <c r="AA123" s="80"/>
      <c r="AE123"/>
      <c r="AG123"/>
      <c r="AH123"/>
      <c r="AI123"/>
      <c r="AJ123"/>
      <c r="AK123"/>
      <c r="AL123"/>
      <c r="AM123"/>
      <c r="AN123"/>
      <c r="AO123"/>
      <c r="AP123"/>
      <c r="AQ123"/>
      <c r="AR123"/>
      <c r="AS123"/>
      <c r="AT123"/>
      <c r="AU123"/>
      <c r="AV123"/>
      <c r="AW123"/>
      <c r="AX123"/>
      <c r="AY123"/>
      <c r="AZ123"/>
      <c r="BA123"/>
    </row>
    <row r="124" spans="1:53">
      <c r="B124" s="15"/>
      <c r="C124" s="64">
        <v>44197</v>
      </c>
      <c r="D124" s="64">
        <v>44561</v>
      </c>
      <c r="E124" s="64">
        <v>44926</v>
      </c>
      <c r="F124" s="64">
        <v>45291</v>
      </c>
      <c r="G124" s="64">
        <v>45657</v>
      </c>
      <c r="H124" s="64">
        <v>46022</v>
      </c>
      <c r="I124" s="64">
        <v>46387</v>
      </c>
      <c r="J124" s="64">
        <v>46752</v>
      </c>
      <c r="K124" s="64">
        <v>47118</v>
      </c>
      <c r="L124" s="101"/>
      <c r="M124" s="101"/>
      <c r="N124" s="101"/>
      <c r="O124" s="101"/>
      <c r="P124" s="101"/>
      <c r="Q124" s="101"/>
      <c r="R124" s="101"/>
      <c r="S124" s="101"/>
      <c r="T124" s="101"/>
      <c r="U124" s="101"/>
      <c r="V124" s="101"/>
      <c r="W124" s="101"/>
      <c r="X124" s="101"/>
      <c r="Y124" s="101"/>
      <c r="Z124" s="101"/>
      <c r="AA124" s="101"/>
    </row>
    <row r="125" spans="1:53">
      <c r="B125" s="89" t="s">
        <v>73</v>
      </c>
      <c r="C125" s="88">
        <f t="shared" ref="C125:J125" si="117">C68</f>
        <v>-3000000000</v>
      </c>
      <c r="D125" s="88">
        <f t="shared" si="117"/>
        <v>-4307240500</v>
      </c>
      <c r="E125" s="88">
        <f t="shared" si="117"/>
        <v>-3867528500</v>
      </c>
      <c r="F125" s="88">
        <f t="shared" si="117"/>
        <v>851175000</v>
      </c>
      <c r="G125" s="88">
        <f t="shared" si="117"/>
        <v>2927815200</v>
      </c>
      <c r="H125" s="88">
        <f t="shared" si="117"/>
        <v>3842482000</v>
      </c>
      <c r="I125" s="88">
        <f t="shared" si="117"/>
        <v>4931744750</v>
      </c>
      <c r="J125" s="88">
        <f t="shared" si="117"/>
        <v>4428616500</v>
      </c>
      <c r="K125" s="88">
        <f>K128+K127</f>
        <v>56036814125.796173</v>
      </c>
      <c r="L125" s="88"/>
      <c r="M125" s="93"/>
      <c r="N125" s="93"/>
      <c r="O125" s="93"/>
      <c r="P125" s="93"/>
      <c r="Q125" s="93"/>
      <c r="R125" s="93"/>
      <c r="S125" s="93"/>
      <c r="T125" s="93"/>
      <c r="U125" s="93"/>
      <c r="V125" s="93"/>
      <c r="W125" s="93"/>
      <c r="X125" s="93"/>
      <c r="Y125" s="93"/>
      <c r="Z125" s="93"/>
      <c r="AA125" s="93"/>
      <c r="AE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s="1" customFormat="1">
      <c r="B126" s="89"/>
      <c r="C126" s="88"/>
      <c r="D126" s="88"/>
      <c r="E126" s="88"/>
      <c r="F126" s="88"/>
      <c r="G126" s="88"/>
      <c r="H126" s="88"/>
      <c r="I126" s="88"/>
      <c r="J126" s="88"/>
      <c r="K126" s="88"/>
      <c r="L126" s="88"/>
      <c r="M126" s="93"/>
      <c r="N126" s="93"/>
      <c r="O126" s="93"/>
      <c r="P126" s="93"/>
      <c r="Q126" s="93"/>
      <c r="R126" s="93"/>
      <c r="S126" s="93"/>
      <c r="T126" s="93"/>
      <c r="U126" s="93"/>
      <c r="V126" s="93"/>
      <c r="W126" s="93"/>
      <c r="X126" s="80"/>
      <c r="Y126" s="80"/>
      <c r="Z126" s="80"/>
      <c r="AA126" s="80"/>
      <c r="AE126"/>
      <c r="AG126"/>
      <c r="AH126"/>
      <c r="AI126"/>
      <c r="AJ126"/>
      <c r="AK126"/>
      <c r="AL126"/>
      <c r="AM126"/>
      <c r="AN126"/>
      <c r="AO126"/>
      <c r="AP126"/>
      <c r="AQ126"/>
      <c r="AR126"/>
      <c r="AS126"/>
      <c r="AT126"/>
      <c r="AU126"/>
      <c r="AV126"/>
      <c r="AW126"/>
      <c r="AX126"/>
      <c r="AY126"/>
      <c r="AZ126"/>
      <c r="BA126"/>
    </row>
    <row r="127" spans="1:53">
      <c r="B127" s="90" t="s">
        <v>75</v>
      </c>
      <c r="C127" s="91"/>
      <c r="D127" s="92">
        <f>NPV(wacc,D125:K125)+C125</f>
        <v>21039695750.023964</v>
      </c>
      <c r="E127" s="86"/>
      <c r="F127" s="86"/>
      <c r="G127" s="87"/>
      <c r="H127" s="19"/>
      <c r="J127" s="6" t="s">
        <v>78</v>
      </c>
      <c r="K127" s="96">
        <v>4695488250</v>
      </c>
      <c r="M127" s="78"/>
      <c r="N127" s="78"/>
      <c r="O127" s="78"/>
      <c r="P127" s="78"/>
      <c r="Q127" s="80"/>
      <c r="R127" s="80"/>
      <c r="S127" s="80"/>
      <c r="T127" s="80"/>
      <c r="U127" s="80"/>
      <c r="V127" s="80"/>
      <c r="W127" s="93"/>
      <c r="X127" s="93"/>
      <c r="Y127" s="93"/>
      <c r="Z127" s="93"/>
      <c r="AA127" s="93"/>
    </row>
    <row r="128" spans="1:53">
      <c r="B128" s="90" t="s">
        <v>118</v>
      </c>
      <c r="C128" s="91"/>
      <c r="D128" s="108">
        <f>IRR(C125:K125)</f>
        <v>0.35562959189734178</v>
      </c>
      <c r="E128" s="86"/>
      <c r="F128" s="19"/>
      <c r="G128" s="87"/>
      <c r="H128" s="19"/>
      <c r="J128" s="6" t="s">
        <v>80</v>
      </c>
      <c r="K128" s="96">
        <f>(K127*(1+C43))/(wacc-C43)</f>
        <v>51341325875.796173</v>
      </c>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2:53" s="1" customFormat="1">
      <c r="B129" s="90" t="s">
        <v>119</v>
      </c>
      <c r="C129" s="91"/>
      <c r="D129" s="108">
        <v>0.26192557109824999</v>
      </c>
      <c r="E129" s="86"/>
      <c r="F129" s="19"/>
      <c r="G129" s="87"/>
      <c r="H129" s="19"/>
      <c r="I129" s="6"/>
      <c r="J129" s="6"/>
      <c r="K129" s="6"/>
      <c r="L129" s="6"/>
      <c r="M129" s="6"/>
      <c r="N129" s="6"/>
      <c r="O129" s="6"/>
      <c r="P129" s="6"/>
      <c r="AE129"/>
      <c r="AF129"/>
      <c r="AG129"/>
      <c r="AH129"/>
      <c r="AI129"/>
      <c r="AJ129"/>
      <c r="AK129"/>
      <c r="AL129"/>
      <c r="AM129"/>
      <c r="AN129"/>
      <c r="AO129"/>
      <c r="AP129"/>
      <c r="AQ129"/>
      <c r="AR129"/>
      <c r="AS129"/>
      <c r="AT129"/>
      <c r="AU129"/>
      <c r="AV129"/>
      <c r="AW129"/>
      <c r="AX129"/>
      <c r="AY129"/>
      <c r="AZ129"/>
      <c r="BA129"/>
    </row>
    <row r="130" spans="2:53" s="1" customFormat="1">
      <c r="B130" s="43"/>
      <c r="C130" s="85"/>
      <c r="D130" s="109"/>
      <c r="E130" s="86"/>
      <c r="F130" s="19"/>
      <c r="G130" s="87"/>
      <c r="H130" s="19"/>
      <c r="I130" s="6"/>
      <c r="J130" s="6"/>
      <c r="K130" s="6"/>
      <c r="L130" s="6"/>
      <c r="M130" s="6"/>
      <c r="N130" s="6"/>
      <c r="O130" s="6"/>
      <c r="P130" s="6"/>
    </row>
    <row r="131" spans="2:53">
      <c r="B131" s="89" t="s">
        <v>74</v>
      </c>
      <c r="C131" s="88">
        <f>C103</f>
        <v>-7000000000</v>
      </c>
      <c r="D131" s="88">
        <f t="shared" ref="D131:J131" si="118">D103</f>
        <v>-5203967900</v>
      </c>
      <c r="E131" s="88">
        <f t="shared" si="118"/>
        <v>-6479935800</v>
      </c>
      <c r="F131" s="88">
        <f t="shared" si="118"/>
        <v>-706176800</v>
      </c>
      <c r="G131" s="88">
        <f t="shared" si="118"/>
        <v>4130335760</v>
      </c>
      <c r="H131" s="88">
        <f t="shared" si="118"/>
        <v>7347457600</v>
      </c>
      <c r="I131" s="88">
        <f t="shared" si="118"/>
        <v>10505173300</v>
      </c>
      <c r="J131" s="88">
        <f t="shared" si="118"/>
        <v>11497108200</v>
      </c>
      <c r="K131" s="88">
        <f>K103+K134</f>
        <v>145684470550.10614</v>
      </c>
      <c r="L131" s="88"/>
      <c r="AE131" s="1"/>
      <c r="AG131" s="1"/>
      <c r="AH131" s="1"/>
      <c r="AI131" s="1"/>
      <c r="AJ131" s="1"/>
      <c r="AK131" s="1"/>
      <c r="AL131" s="1"/>
      <c r="AM131" s="1"/>
      <c r="AN131" s="1"/>
      <c r="AO131" s="1"/>
      <c r="AP131" s="1"/>
      <c r="AQ131" s="1"/>
      <c r="AR131" s="1"/>
      <c r="AS131" s="1"/>
      <c r="AT131" s="1"/>
      <c r="AU131" s="1"/>
      <c r="AV131" s="1"/>
      <c r="AW131" s="1"/>
      <c r="AX131" s="1"/>
      <c r="AY131" s="1"/>
      <c r="AZ131" s="1"/>
      <c r="BA131" s="1"/>
    </row>
    <row r="132" spans="2:53" s="1" customFormat="1">
      <c r="B132" s="89"/>
      <c r="C132" s="88"/>
      <c r="D132" s="88"/>
      <c r="E132" s="88"/>
      <c r="F132" s="88"/>
      <c r="G132" s="88"/>
      <c r="H132" s="88"/>
      <c r="I132" s="88"/>
      <c r="J132" s="88"/>
      <c r="K132" s="88"/>
      <c r="L132" s="88"/>
      <c r="M132" s="6"/>
      <c r="N132" s="6"/>
      <c r="O132" s="6"/>
      <c r="P132" s="6"/>
      <c r="AE132"/>
      <c r="AG132"/>
      <c r="AH132"/>
      <c r="AI132"/>
      <c r="AJ132"/>
      <c r="AK132"/>
      <c r="AL132"/>
      <c r="AM132"/>
      <c r="AN132"/>
      <c r="AO132"/>
      <c r="AP132"/>
      <c r="AQ132"/>
      <c r="AR132"/>
      <c r="AS132"/>
      <c r="AT132"/>
      <c r="AU132"/>
      <c r="AV132"/>
      <c r="AW132"/>
      <c r="AX132"/>
      <c r="AY132"/>
      <c r="AZ132"/>
      <c r="BA132"/>
    </row>
    <row r="133" spans="2:53">
      <c r="B133" s="90" t="s">
        <v>75</v>
      </c>
      <c r="C133" s="95"/>
      <c r="D133" s="102">
        <f>NPV(wacc,D131:K131)+C131</f>
        <v>56798446403.000465</v>
      </c>
      <c r="J133" s="6" t="s">
        <v>78</v>
      </c>
      <c r="K133" s="96">
        <v>12207327100</v>
      </c>
    </row>
    <row r="134" spans="2:53">
      <c r="B134" s="90" t="s">
        <v>118</v>
      </c>
      <c r="C134" s="95"/>
      <c r="D134" s="133">
        <f>IRR(C131:K131)</f>
        <v>0.4078317882519229</v>
      </c>
      <c r="J134" s="6" t="s">
        <v>80</v>
      </c>
      <c r="K134" s="96">
        <f>(K133*(1+C43))/(wacc-C43)</f>
        <v>133477143450.10616</v>
      </c>
      <c r="AE134" s="1"/>
      <c r="AG134" s="1"/>
      <c r="AH134" s="1"/>
      <c r="AI134" s="1"/>
      <c r="AJ134" s="1"/>
      <c r="AK134" s="1"/>
      <c r="AL134" s="1"/>
      <c r="AM134" s="1"/>
      <c r="AN134" s="1"/>
      <c r="AO134" s="1"/>
      <c r="AP134" s="1"/>
      <c r="AQ134" s="1"/>
      <c r="AR134" s="1"/>
      <c r="AS134" s="1"/>
      <c r="AT134" s="1"/>
      <c r="AU134" s="1"/>
      <c r="AV134" s="1"/>
      <c r="AW134" s="1"/>
      <c r="AX134" s="1"/>
      <c r="AY134" s="1"/>
      <c r="AZ134" s="1"/>
      <c r="BA134" s="1"/>
    </row>
    <row r="135" spans="2:53" s="1" customFormat="1">
      <c r="B135" s="90" t="s">
        <v>119</v>
      </c>
      <c r="C135" s="95"/>
      <c r="D135" s="133">
        <v>0.29424436914513019</v>
      </c>
      <c r="E135" s="159"/>
      <c r="F135" s="6"/>
      <c r="G135" s="6"/>
      <c r="H135" s="6"/>
      <c r="I135" s="6"/>
      <c r="J135" s="6"/>
      <c r="K135" s="96"/>
      <c r="L135" s="6"/>
      <c r="M135" s="6"/>
      <c r="N135" s="6"/>
      <c r="O135" s="6"/>
      <c r="P135" s="6"/>
    </row>
    <row r="136" spans="2:53" s="1" customFormat="1">
      <c r="B136" s="43"/>
      <c r="C136" s="6"/>
      <c r="D136" s="6"/>
      <c r="E136" s="6"/>
      <c r="F136" s="6"/>
      <c r="G136" s="6"/>
      <c r="H136" s="6"/>
      <c r="I136" s="6"/>
      <c r="J136" s="6"/>
      <c r="K136" s="6"/>
      <c r="L136" s="6"/>
      <c r="M136" s="6"/>
      <c r="N136" s="6"/>
      <c r="O136" s="6"/>
      <c r="P136" s="6"/>
      <c r="AE136"/>
      <c r="AF136"/>
      <c r="AG136"/>
      <c r="AH136"/>
      <c r="AI136"/>
      <c r="AJ136"/>
      <c r="AK136"/>
      <c r="AL136"/>
      <c r="AM136"/>
      <c r="AN136"/>
      <c r="AO136"/>
      <c r="AP136"/>
      <c r="AQ136"/>
      <c r="AR136"/>
      <c r="AS136"/>
      <c r="AT136"/>
      <c r="AU136"/>
      <c r="AV136"/>
      <c r="AW136"/>
      <c r="AX136"/>
      <c r="AY136"/>
      <c r="AZ136"/>
      <c r="BA136"/>
    </row>
    <row r="137" spans="2:53" s="1" customFormat="1">
      <c r="B137" s="43"/>
      <c r="C137" s="57">
        <v>4</v>
      </c>
      <c r="D137" s="152" t="s">
        <v>149</v>
      </c>
      <c r="E137" s="6"/>
      <c r="F137" s="6"/>
      <c r="G137" s="6"/>
      <c r="H137" s="6"/>
      <c r="I137" s="6"/>
      <c r="J137" s="6"/>
      <c r="K137" s="6"/>
      <c r="L137" s="6"/>
      <c r="M137" s="6"/>
      <c r="N137" s="6"/>
      <c r="O137" s="6"/>
      <c r="P137" s="6"/>
    </row>
    <row r="138" spans="2:53" s="1" customFormat="1">
      <c r="B138" s="43"/>
      <c r="C138" s="6"/>
      <c r="D138" s="6"/>
      <c r="E138" s="6"/>
      <c r="F138" s="6"/>
      <c r="G138" s="6"/>
      <c r="H138" s="6"/>
      <c r="I138" s="6"/>
      <c r="J138" s="6"/>
      <c r="K138" s="6"/>
      <c r="L138" s="6"/>
      <c r="M138" s="6"/>
      <c r="N138" s="6"/>
      <c r="O138" s="6"/>
      <c r="P138" s="6"/>
    </row>
    <row r="139" spans="2:53">
      <c r="C139" s="57">
        <v>5</v>
      </c>
      <c r="E139" s="6" t="s">
        <v>61</v>
      </c>
      <c r="F139" s="70">
        <f>C43</f>
        <v>0.03</v>
      </c>
    </row>
    <row r="140" spans="2:53">
      <c r="C140" s="124" t="s">
        <v>133</v>
      </c>
      <c r="D140" s="2"/>
      <c r="E140" s="2"/>
      <c r="F140" s="2"/>
      <c r="G140" s="1"/>
      <c r="H140" s="2"/>
      <c r="I140" s="2"/>
      <c r="J140"/>
      <c r="K140"/>
      <c r="L140"/>
    </row>
    <row r="141" spans="2:53">
      <c r="C141" s="55"/>
      <c r="D141" s="42"/>
      <c r="E141" s="196" t="s">
        <v>28</v>
      </c>
      <c r="F141" s="196"/>
      <c r="G141" s="42"/>
      <c r="H141" s="197" t="s">
        <v>30</v>
      </c>
      <c r="I141" s="198"/>
      <c r="J141" s="1"/>
      <c r="K141" s="1"/>
      <c r="L141" s="1"/>
    </row>
    <row r="142" spans="2:53">
      <c r="C142" s="44"/>
      <c r="D142" s="45"/>
      <c r="E142" s="45" t="s">
        <v>47</v>
      </c>
      <c r="F142" s="45" t="s">
        <v>48</v>
      </c>
      <c r="G142" s="43"/>
      <c r="H142" s="45" t="s">
        <v>47</v>
      </c>
      <c r="I142" s="45" t="s">
        <v>48</v>
      </c>
      <c r="J142" s="1"/>
      <c r="K142"/>
      <c r="L142"/>
    </row>
    <row r="143" spans="2:53">
      <c r="C143" s="46" t="s">
        <v>60</v>
      </c>
      <c r="D143" s="47"/>
      <c r="E143" s="76">
        <f>$F$139+0.01</f>
        <v>0.04</v>
      </c>
      <c r="F143" s="76">
        <f>$F$139+0.01</f>
        <v>0.04</v>
      </c>
      <c r="G143" s="43"/>
      <c r="H143" s="76">
        <f>$F$139-0.01</f>
        <v>1.9999999999999997E-2</v>
      </c>
      <c r="I143" s="76">
        <f>$F$139-0.01</f>
        <v>1.9999999999999997E-2</v>
      </c>
      <c r="J143"/>
      <c r="K143"/>
      <c r="L143"/>
    </row>
    <row r="144" spans="2:53">
      <c r="C144" s="46" t="s">
        <v>29</v>
      </c>
      <c r="D144" s="47"/>
      <c r="E144" s="48">
        <v>0.1</v>
      </c>
      <c r="F144" s="48">
        <v>0.1</v>
      </c>
      <c r="G144" s="43"/>
      <c r="H144" s="48">
        <v>0.15</v>
      </c>
      <c r="I144" s="49">
        <v>0.15</v>
      </c>
      <c r="J144" s="1"/>
      <c r="K144" s="1"/>
      <c r="L144" s="1"/>
    </row>
    <row r="145" spans="3:16">
      <c r="C145" s="50" t="s">
        <v>62</v>
      </c>
      <c r="D145" s="51"/>
      <c r="E145" s="52">
        <v>0.97499999999999998</v>
      </c>
      <c r="F145" s="52">
        <v>0.97499999999999998</v>
      </c>
      <c r="G145" s="53"/>
      <c r="H145" s="52">
        <v>0.8</v>
      </c>
      <c r="I145" s="54">
        <v>0.8</v>
      </c>
      <c r="J145" s="1"/>
      <c r="K145" s="1"/>
      <c r="L145" s="1"/>
    </row>
    <row r="146" spans="3:16">
      <c r="C146" s="41"/>
      <c r="D146" s="2"/>
      <c r="E146" s="2"/>
      <c r="F146" s="2"/>
      <c r="G146" s="1"/>
      <c r="H146" s="2"/>
      <c r="I146" s="2"/>
      <c r="J146"/>
      <c r="K146"/>
      <c r="L146"/>
    </row>
    <row r="147" spans="3:16">
      <c r="C147" s="33" t="s">
        <v>65</v>
      </c>
      <c r="E147" s="72">
        <v>21819439224.095348</v>
      </c>
      <c r="F147" s="72">
        <v>57074868208.170883</v>
      </c>
      <c r="G147" s="100"/>
      <c r="H147" s="72">
        <v>7132527243.3322506</v>
      </c>
      <c r="I147" s="72">
        <v>22476420135.164421</v>
      </c>
      <c r="J147"/>
      <c r="K147"/>
      <c r="L147"/>
    </row>
    <row r="148" spans="3:16" s="1" customFormat="1">
      <c r="C148" s="77"/>
      <c r="D148" s="78"/>
      <c r="E148" s="79"/>
      <c r="F148" s="145"/>
      <c r="G148" s="80"/>
      <c r="H148" s="145"/>
      <c r="I148" s="145"/>
      <c r="M148" s="6"/>
      <c r="N148" s="6"/>
      <c r="O148" s="6"/>
      <c r="P148" s="6"/>
    </row>
    <row r="149" spans="3:16">
      <c r="C149" s="41" t="s">
        <v>76</v>
      </c>
      <c r="F149"/>
      <c r="G149"/>
      <c r="H149"/>
      <c r="I149"/>
      <c r="J149"/>
      <c r="K149"/>
      <c r="L149"/>
    </row>
    <row r="150" spans="3:16">
      <c r="C150" t="s">
        <v>77</v>
      </c>
    </row>
  </sheetData>
  <scenarios current="0" sqref="C115:C116">
    <scenario name="Blue Sky Cenario GR" locked="1" count="3" user="Pedro Carvalho" comment="Created by Pedro Carvalho on 03/12/2020_x000a_Modified by Pedro Carvalho on 03/12/2020">
      <inputCells r="C43" val="0,04" numFmtId="9"/>
      <inputCells r="C42" val="0,1" numFmtId="10"/>
      <inputCells r="K34" val="0,975" numFmtId="164"/>
    </scenario>
    <scenario name="Grey Sky Cenario" locked="1" count="3" user="Pedro Carvalho" comment="Created by Pedro Carvalho on 03/12/2020">
      <inputCells r="C43" val="0,02" numFmtId="9"/>
      <inputCells r="C42" val="0,15" numFmtId="10"/>
      <inputCells r="K34" val="0,8" numFmtId="164"/>
    </scenario>
  </scenarios>
  <mergeCells count="13">
    <mergeCell ref="B36:K36"/>
    <mergeCell ref="C43:D43"/>
    <mergeCell ref="B12:K12"/>
    <mergeCell ref="B3:K3"/>
    <mergeCell ref="B18:K18"/>
    <mergeCell ref="B23:K23"/>
    <mergeCell ref="B32:K32"/>
    <mergeCell ref="AD42:AF42"/>
    <mergeCell ref="AD41:AF41"/>
    <mergeCell ref="AD84:AF84"/>
    <mergeCell ref="AD85:AF85"/>
    <mergeCell ref="E141:F141"/>
    <mergeCell ref="H141:I141"/>
  </mergeCells>
  <pageMargins left="0.7" right="0.7" top="0.75" bottom="0.75" header="0.3" footer="0.3"/>
  <pageSetup paperSize="9" scal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A27B9-6EAD-4157-BE1F-C0236AB45FC1}">
  <sheetPr>
    <tabColor theme="4" tint="0.59999389629810485"/>
  </sheetPr>
  <dimension ref="A2:AW205"/>
  <sheetViews>
    <sheetView showGridLines="0" topLeftCell="A106" zoomScale="80" zoomScaleNormal="80" workbookViewId="0">
      <selection activeCell="G203" sqref="G203"/>
    </sheetView>
  </sheetViews>
  <sheetFormatPr defaultRowHeight="15"/>
  <cols>
    <col min="1" max="1" width="9.140625" style="1"/>
    <col min="2" max="2" width="28.85546875" style="1" customWidth="1"/>
    <col min="3" max="3" width="18.7109375" style="6" customWidth="1"/>
    <col min="4" max="4" width="18.5703125" style="6" customWidth="1"/>
    <col min="5" max="5" width="22.42578125" style="6" customWidth="1"/>
    <col min="6" max="6" width="18.42578125" style="6" bestFit="1" customWidth="1"/>
    <col min="7" max="7" width="17.42578125" style="6" bestFit="1" customWidth="1"/>
    <col min="8" max="8" width="17.7109375" style="6" bestFit="1" customWidth="1"/>
    <col min="9" max="9" width="16.28515625" style="6" bestFit="1" customWidth="1"/>
    <col min="10" max="10" width="20.42578125" style="6" bestFit="1" customWidth="1"/>
    <col min="11" max="11" width="16.42578125" style="6" bestFit="1" customWidth="1"/>
    <col min="12" max="12" width="15.85546875" style="6" bestFit="1" customWidth="1"/>
    <col min="13" max="16" width="15" style="6" customWidth="1"/>
    <col min="17" max="18" width="16.5703125" style="1" bestFit="1" customWidth="1"/>
    <col min="19" max="24" width="16.42578125" style="1" bestFit="1" customWidth="1"/>
    <col min="25" max="26" width="9.140625" style="1"/>
    <col min="27" max="27" width="11.28515625" style="1" bestFit="1" customWidth="1"/>
    <col min="28" max="28" width="16" style="1" customWidth="1"/>
    <col min="29" max="29" width="13.28515625" style="1" customWidth="1"/>
    <col min="30" max="39" width="12.42578125" style="1" bestFit="1" customWidth="1"/>
    <col min="40" max="48" width="14.28515625" style="1" bestFit="1" customWidth="1"/>
    <col min="49" max="49" width="15.28515625" style="1" bestFit="1" customWidth="1"/>
    <col min="50" max="16384" width="9.140625" style="1"/>
  </cols>
  <sheetData>
    <row r="2" spans="2:20">
      <c r="B2" s="16"/>
      <c r="C2" s="58">
        <v>44197</v>
      </c>
      <c r="D2" s="58">
        <f>+C2+364</f>
        <v>44561</v>
      </c>
      <c r="E2" s="58">
        <f>D2+365</f>
        <v>44926</v>
      </c>
      <c r="F2" s="58">
        <f t="shared" ref="F2:J2" si="0">E2+365</f>
        <v>45291</v>
      </c>
      <c r="G2" s="58">
        <f>F2+366</f>
        <v>45657</v>
      </c>
      <c r="H2" s="58">
        <f t="shared" si="0"/>
        <v>46022</v>
      </c>
      <c r="I2" s="58">
        <f t="shared" si="0"/>
        <v>46387</v>
      </c>
      <c r="J2" s="58">
        <f t="shared" si="0"/>
        <v>46752</v>
      </c>
      <c r="K2" s="63">
        <f>J2+366</f>
        <v>47118</v>
      </c>
      <c r="Q2" s="6"/>
      <c r="R2" s="6"/>
      <c r="S2" s="6"/>
      <c r="T2" s="6"/>
    </row>
    <row r="3" spans="2:20">
      <c r="B3" s="199" t="s">
        <v>57</v>
      </c>
      <c r="C3" s="200"/>
      <c r="D3" s="200"/>
      <c r="E3" s="200"/>
      <c r="F3" s="200"/>
      <c r="G3" s="200"/>
      <c r="H3" s="200"/>
      <c r="I3" s="200"/>
      <c r="J3" s="200"/>
      <c r="K3" s="201"/>
    </row>
    <row r="4" spans="2:20">
      <c r="B4" s="59" t="s">
        <v>47</v>
      </c>
      <c r="C4" s="19" t="s">
        <v>14</v>
      </c>
      <c r="D4" s="19" t="s">
        <v>14</v>
      </c>
      <c r="E4" s="19"/>
      <c r="F4" s="19"/>
      <c r="G4" s="19"/>
      <c r="H4" s="19"/>
      <c r="I4" s="19"/>
      <c r="J4" s="19"/>
      <c r="K4" s="20"/>
      <c r="N4" s="7"/>
    </row>
    <row r="5" spans="2:20">
      <c r="B5" s="60" t="s">
        <v>49</v>
      </c>
      <c r="C5" s="19"/>
      <c r="D5" s="19"/>
      <c r="E5" s="157">
        <v>100000</v>
      </c>
      <c r="F5" s="157">
        <v>125000</v>
      </c>
      <c r="G5" s="157">
        <v>150000</v>
      </c>
      <c r="H5" s="157">
        <v>150000</v>
      </c>
      <c r="I5" s="157">
        <v>150000</v>
      </c>
      <c r="J5" s="157">
        <v>150000</v>
      </c>
      <c r="K5" s="158">
        <v>150000</v>
      </c>
      <c r="N5" s="7"/>
    </row>
    <row r="6" spans="2:20">
      <c r="B6" s="60" t="s">
        <v>50</v>
      </c>
      <c r="C6" s="19"/>
      <c r="D6" s="19"/>
      <c r="E6" s="157">
        <v>150000</v>
      </c>
      <c r="F6" s="157">
        <v>300000</v>
      </c>
      <c r="G6" s="157">
        <v>350000</v>
      </c>
      <c r="H6" s="157">
        <v>350000</v>
      </c>
      <c r="I6" s="157">
        <v>350000</v>
      </c>
      <c r="J6" s="157">
        <v>350000</v>
      </c>
      <c r="K6" s="158">
        <v>350000</v>
      </c>
      <c r="N6" s="7"/>
    </row>
    <row r="7" spans="2:20">
      <c r="B7" s="60" t="s">
        <v>51</v>
      </c>
      <c r="C7" s="19"/>
      <c r="D7" s="19"/>
      <c r="E7" s="157">
        <v>50000</v>
      </c>
      <c r="F7" s="157">
        <v>75000</v>
      </c>
      <c r="G7" s="157">
        <v>100000</v>
      </c>
      <c r="H7" s="157">
        <v>100000</v>
      </c>
      <c r="I7" s="157">
        <v>100000</v>
      </c>
      <c r="J7" s="157">
        <v>100000</v>
      </c>
      <c r="K7" s="158">
        <v>100000</v>
      </c>
      <c r="N7" s="7"/>
    </row>
    <row r="8" spans="2:20">
      <c r="B8" s="59" t="s">
        <v>48</v>
      </c>
      <c r="C8" s="19" t="s">
        <v>14</v>
      </c>
      <c r="D8" s="19" t="s">
        <v>14</v>
      </c>
      <c r="E8" s="157" t="s">
        <v>14</v>
      </c>
      <c r="F8" s="157"/>
      <c r="G8" s="157"/>
      <c r="H8" s="157"/>
      <c r="I8" s="157"/>
      <c r="J8" s="157"/>
      <c r="K8" s="158"/>
      <c r="N8" s="7"/>
    </row>
    <row r="9" spans="2:20">
      <c r="B9" s="60" t="s">
        <v>50</v>
      </c>
      <c r="C9" s="19"/>
      <c r="D9" s="19"/>
      <c r="E9" s="157"/>
      <c r="F9" s="157">
        <v>60000</v>
      </c>
      <c r="G9" s="157">
        <v>100000</v>
      </c>
      <c r="H9" s="157">
        <v>100000</v>
      </c>
      <c r="I9" s="157">
        <v>100000</v>
      </c>
      <c r="J9" s="157">
        <v>100000</v>
      </c>
      <c r="K9" s="158">
        <v>100000</v>
      </c>
      <c r="N9" s="7"/>
    </row>
    <row r="10" spans="2:20">
      <c r="B10" s="60" t="s">
        <v>51</v>
      </c>
      <c r="C10" s="19"/>
      <c r="D10" s="19"/>
      <c r="E10" s="157"/>
      <c r="F10" s="157">
        <v>150000</v>
      </c>
      <c r="G10" s="157">
        <v>200000</v>
      </c>
      <c r="H10" s="157">
        <v>220000</v>
      </c>
      <c r="I10" s="157">
        <v>220000</v>
      </c>
      <c r="J10" s="157">
        <v>220000</v>
      </c>
      <c r="K10" s="158">
        <v>220000</v>
      </c>
      <c r="N10" s="7"/>
    </row>
    <row r="11" spans="2:20">
      <c r="B11" s="60" t="s">
        <v>53</v>
      </c>
      <c r="C11" s="19"/>
      <c r="D11" s="19"/>
      <c r="E11" s="157"/>
      <c r="F11" s="157">
        <v>150000</v>
      </c>
      <c r="G11" s="157">
        <v>260000</v>
      </c>
      <c r="H11" s="157">
        <v>280000</v>
      </c>
      <c r="I11" s="157">
        <v>280000</v>
      </c>
      <c r="J11" s="157">
        <v>280000</v>
      </c>
      <c r="K11" s="158">
        <v>280000</v>
      </c>
    </row>
    <row r="12" spans="2:20">
      <c r="B12" s="199" t="s">
        <v>56</v>
      </c>
      <c r="C12" s="200"/>
      <c r="D12" s="200"/>
      <c r="E12" s="200"/>
      <c r="F12" s="200"/>
      <c r="G12" s="200"/>
      <c r="H12" s="200"/>
      <c r="I12" s="200"/>
      <c r="J12" s="200"/>
      <c r="K12" s="201"/>
      <c r="L12" s="8"/>
    </row>
    <row r="13" spans="2:20">
      <c r="B13" s="59" t="s">
        <v>47</v>
      </c>
      <c r="C13" s="67">
        <v>3000000000</v>
      </c>
      <c r="D13" s="67">
        <v>4000000000</v>
      </c>
      <c r="E13" s="67">
        <v>3500000000</v>
      </c>
      <c r="F13" s="67">
        <v>300000000</v>
      </c>
      <c r="G13" s="67">
        <v>300000000</v>
      </c>
      <c r="H13" s="67">
        <v>300000000</v>
      </c>
      <c r="I13" s="67">
        <v>300000000</v>
      </c>
      <c r="J13" s="67">
        <v>300000000</v>
      </c>
      <c r="K13" s="68">
        <v>300000000</v>
      </c>
      <c r="L13" s="8"/>
      <c r="M13" s="9"/>
    </row>
    <row r="14" spans="2:20">
      <c r="B14" s="59" t="s">
        <v>48</v>
      </c>
      <c r="C14" s="67">
        <v>7000000000</v>
      </c>
      <c r="D14" s="67">
        <v>5000000000</v>
      </c>
      <c r="E14" s="67">
        <v>6000000000</v>
      </c>
      <c r="F14" s="67">
        <v>200000000</v>
      </c>
      <c r="G14" s="67">
        <v>200000000</v>
      </c>
      <c r="H14" s="67">
        <v>200000000</v>
      </c>
      <c r="I14" s="67">
        <v>200000000</v>
      </c>
      <c r="J14" s="67">
        <v>200000000</v>
      </c>
      <c r="K14" s="68">
        <v>200000000</v>
      </c>
      <c r="L14" s="8"/>
      <c r="M14" s="9"/>
    </row>
    <row r="15" spans="2:20">
      <c r="B15" s="21"/>
      <c r="C15" s="22"/>
      <c r="D15" s="22"/>
      <c r="E15" s="22"/>
      <c r="F15" s="22"/>
      <c r="G15" s="22"/>
      <c r="H15" s="22"/>
      <c r="I15" s="22"/>
      <c r="J15" s="22"/>
      <c r="K15" s="23"/>
      <c r="L15" s="8"/>
    </row>
    <row r="16" spans="2:20">
      <c r="B16" s="17" t="s">
        <v>18</v>
      </c>
      <c r="C16" s="24"/>
      <c r="D16" s="24"/>
      <c r="E16" s="24">
        <v>0.4</v>
      </c>
      <c r="F16" s="24">
        <v>0.35</v>
      </c>
      <c r="G16" s="24">
        <v>0.25</v>
      </c>
      <c r="H16" s="24">
        <v>0.2</v>
      </c>
      <c r="I16" s="24">
        <v>0.15</v>
      </c>
      <c r="J16" s="24">
        <v>0.15</v>
      </c>
      <c r="K16" s="25">
        <v>0.15</v>
      </c>
      <c r="L16" s="8"/>
    </row>
    <row r="17" spans="2:20">
      <c r="B17" s="21"/>
      <c r="C17" s="22"/>
      <c r="D17" s="22"/>
      <c r="E17" s="22"/>
      <c r="F17" s="22"/>
      <c r="G17" s="22"/>
      <c r="H17" s="22"/>
      <c r="I17" s="22"/>
      <c r="J17" s="22"/>
      <c r="K17" s="23"/>
      <c r="L17" s="8"/>
      <c r="M17" s="9"/>
    </row>
    <row r="18" spans="2:20">
      <c r="B18" s="199" t="s">
        <v>52</v>
      </c>
      <c r="C18" s="200"/>
      <c r="D18" s="200"/>
      <c r="E18" s="200"/>
      <c r="F18" s="200"/>
      <c r="G18" s="200"/>
      <c r="H18" s="200"/>
      <c r="I18" s="200"/>
      <c r="J18" s="200"/>
      <c r="K18" s="201"/>
      <c r="N18" s="123"/>
      <c r="O18" s="123"/>
      <c r="P18" s="123"/>
      <c r="Q18" s="123"/>
      <c r="S18" s="123"/>
      <c r="T18" s="123"/>
    </row>
    <row r="19" spans="2:20">
      <c r="B19" s="61" t="s">
        <v>49</v>
      </c>
      <c r="C19" s="43"/>
      <c r="D19" s="43"/>
      <c r="E19" s="155">
        <v>15000</v>
      </c>
      <c r="F19" s="155">
        <f>$E$19</f>
        <v>15000</v>
      </c>
      <c r="G19" s="155">
        <f t="shared" ref="G19:K19" si="1">$E$19</f>
        <v>15000</v>
      </c>
      <c r="H19" s="155">
        <f t="shared" si="1"/>
        <v>15000</v>
      </c>
      <c r="I19" s="155">
        <f t="shared" si="1"/>
        <v>15000</v>
      </c>
      <c r="J19" s="155">
        <f t="shared" si="1"/>
        <v>15000</v>
      </c>
      <c r="K19" s="156">
        <f t="shared" si="1"/>
        <v>15000</v>
      </c>
      <c r="L19" s="1"/>
      <c r="M19" s="1"/>
      <c r="N19" s="1"/>
      <c r="O19" s="1"/>
      <c r="P19" s="1"/>
    </row>
    <row r="20" spans="2:20">
      <c r="B20" s="61" t="s">
        <v>50</v>
      </c>
      <c r="C20" s="43"/>
      <c r="D20" s="43"/>
      <c r="E20" s="155">
        <v>40000</v>
      </c>
      <c r="F20" s="155">
        <f>$E$20</f>
        <v>40000</v>
      </c>
      <c r="G20" s="155">
        <f t="shared" ref="G20:K20" si="2">$E$20</f>
        <v>40000</v>
      </c>
      <c r="H20" s="155">
        <f t="shared" si="2"/>
        <v>40000</v>
      </c>
      <c r="I20" s="155">
        <f t="shared" si="2"/>
        <v>40000</v>
      </c>
      <c r="J20" s="155">
        <f t="shared" si="2"/>
        <v>40000</v>
      </c>
      <c r="K20" s="156">
        <f t="shared" si="2"/>
        <v>40000</v>
      </c>
      <c r="L20" s="1"/>
      <c r="M20" s="1"/>
      <c r="N20" s="1"/>
      <c r="O20" s="1"/>
      <c r="P20" s="1"/>
    </row>
    <row r="21" spans="2:20">
      <c r="B21" s="61" t="s">
        <v>51</v>
      </c>
      <c r="C21" s="43"/>
      <c r="D21" s="43"/>
      <c r="E21" s="155">
        <v>30000</v>
      </c>
      <c r="F21" s="155">
        <f>$E$21</f>
        <v>30000</v>
      </c>
      <c r="G21" s="155">
        <f t="shared" ref="G21:K21" si="3">$E$21</f>
        <v>30000</v>
      </c>
      <c r="H21" s="155">
        <f t="shared" si="3"/>
        <v>30000</v>
      </c>
      <c r="I21" s="155">
        <f t="shared" si="3"/>
        <v>30000</v>
      </c>
      <c r="J21" s="155">
        <f t="shared" si="3"/>
        <v>30000</v>
      </c>
      <c r="K21" s="156">
        <f t="shared" si="3"/>
        <v>30000</v>
      </c>
      <c r="L21" s="1"/>
      <c r="M21" s="1"/>
      <c r="N21" s="1"/>
      <c r="O21" s="1"/>
      <c r="P21" s="1"/>
    </row>
    <row r="22" spans="2:20">
      <c r="B22" s="62" t="s">
        <v>53</v>
      </c>
      <c r="C22" s="43"/>
      <c r="D22" s="43"/>
      <c r="E22" s="155">
        <v>100000</v>
      </c>
      <c r="F22" s="155">
        <f>$E$22</f>
        <v>100000</v>
      </c>
      <c r="G22" s="155">
        <f t="shared" ref="G22:K22" si="4">$E$22</f>
        <v>100000</v>
      </c>
      <c r="H22" s="155">
        <f t="shared" si="4"/>
        <v>100000</v>
      </c>
      <c r="I22" s="155">
        <f t="shared" si="4"/>
        <v>100000</v>
      </c>
      <c r="J22" s="155">
        <f t="shared" si="4"/>
        <v>100000</v>
      </c>
      <c r="K22" s="156">
        <f t="shared" si="4"/>
        <v>100000</v>
      </c>
      <c r="L22" s="1"/>
      <c r="M22" s="1"/>
      <c r="N22" s="1"/>
      <c r="O22" s="1"/>
      <c r="P22" s="1"/>
    </row>
    <row r="23" spans="2:20">
      <c r="B23" s="199" t="s">
        <v>31</v>
      </c>
      <c r="C23" s="200"/>
      <c r="D23" s="200"/>
      <c r="E23" s="200"/>
      <c r="F23" s="200"/>
      <c r="G23" s="200"/>
      <c r="H23" s="200"/>
      <c r="I23" s="200"/>
      <c r="J23" s="200"/>
      <c r="K23" s="201"/>
      <c r="L23" s="10"/>
      <c r="M23" s="10"/>
      <c r="N23" s="1"/>
      <c r="O23" s="1"/>
      <c r="P23" s="1"/>
    </row>
    <row r="24" spans="2:20">
      <c r="B24" s="59" t="s">
        <v>47</v>
      </c>
      <c r="C24" s="26"/>
      <c r="D24" s="26"/>
      <c r="E24" s="26"/>
      <c r="F24" s="26"/>
      <c r="G24" s="26"/>
      <c r="H24" s="26"/>
      <c r="I24" s="26"/>
      <c r="J24" s="26"/>
      <c r="K24" s="27"/>
      <c r="L24" s="10"/>
      <c r="M24" s="10"/>
    </row>
    <row r="25" spans="2:20">
      <c r="B25" s="60" t="s">
        <v>49</v>
      </c>
      <c r="C25" s="26"/>
      <c r="D25" s="26"/>
      <c r="E25" s="26">
        <v>0.35</v>
      </c>
      <c r="F25" s="26">
        <v>0.34799999999999998</v>
      </c>
      <c r="G25" s="26">
        <v>0.34200000000000003</v>
      </c>
      <c r="H25" s="26">
        <v>0.33500000000000002</v>
      </c>
      <c r="I25" s="26">
        <v>0.33</v>
      </c>
      <c r="J25" s="26">
        <v>0.33</v>
      </c>
      <c r="K25" s="27">
        <v>0.33</v>
      </c>
      <c r="L25" s="10"/>
      <c r="M25" s="10"/>
    </row>
    <row r="26" spans="2:20">
      <c r="B26" s="60" t="s">
        <v>50</v>
      </c>
      <c r="C26" s="26"/>
      <c r="D26" s="26"/>
      <c r="E26" s="26">
        <v>0.4</v>
      </c>
      <c r="F26" s="26">
        <v>0.41</v>
      </c>
      <c r="G26" s="26">
        <v>0.41499999999999998</v>
      </c>
      <c r="H26" s="26">
        <v>0.42</v>
      </c>
      <c r="I26" s="26">
        <v>0.42</v>
      </c>
      <c r="J26" s="26">
        <v>0.42</v>
      </c>
      <c r="K26" s="27">
        <v>0.42</v>
      </c>
      <c r="L26" s="10"/>
      <c r="M26" s="10"/>
    </row>
    <row r="27" spans="2:20">
      <c r="B27" s="60" t="s">
        <v>51</v>
      </c>
      <c r="C27" s="26"/>
      <c r="D27" s="26"/>
      <c r="E27" s="26">
        <v>0.48</v>
      </c>
      <c r="F27" s="26">
        <v>0.49</v>
      </c>
      <c r="G27" s="26">
        <v>0.5</v>
      </c>
      <c r="H27" s="26">
        <v>0.5</v>
      </c>
      <c r="I27" s="26">
        <v>0.5</v>
      </c>
      <c r="J27" s="26">
        <v>0.5</v>
      </c>
      <c r="K27" s="27">
        <v>0.5</v>
      </c>
      <c r="L27" s="10"/>
      <c r="M27" s="10"/>
    </row>
    <row r="28" spans="2:20">
      <c r="B28" s="59" t="s">
        <v>48</v>
      </c>
      <c r="C28" s="26"/>
      <c r="D28" s="26"/>
      <c r="E28" s="26"/>
      <c r="F28" s="26"/>
      <c r="G28" s="26"/>
      <c r="H28" s="26"/>
      <c r="I28" s="26"/>
      <c r="J28" s="26"/>
      <c r="K28" s="27"/>
      <c r="L28" s="10"/>
      <c r="M28" s="10"/>
    </row>
    <row r="29" spans="2:20">
      <c r="B29" s="60" t="s">
        <v>50</v>
      </c>
      <c r="C29" s="26"/>
      <c r="D29" s="26"/>
      <c r="E29" s="26">
        <f>E25+1%</f>
        <v>0.36</v>
      </c>
      <c r="F29" s="26">
        <f t="shared" ref="F29:K29" si="5">F25+1%</f>
        <v>0.35799999999999998</v>
      </c>
      <c r="G29" s="26">
        <f t="shared" si="5"/>
        <v>0.35200000000000004</v>
      </c>
      <c r="H29" s="26">
        <f t="shared" si="5"/>
        <v>0.34500000000000003</v>
      </c>
      <c r="I29" s="26">
        <f t="shared" si="5"/>
        <v>0.34</v>
      </c>
      <c r="J29" s="26">
        <f t="shared" si="5"/>
        <v>0.34</v>
      </c>
      <c r="K29" s="27">
        <f t="shared" si="5"/>
        <v>0.34</v>
      </c>
      <c r="L29" s="10"/>
      <c r="M29" s="10"/>
    </row>
    <row r="30" spans="2:20">
      <c r="B30" s="60" t="s">
        <v>51</v>
      </c>
      <c r="C30" s="26"/>
      <c r="D30" s="26"/>
      <c r="E30" s="26">
        <f>E26-1%</f>
        <v>0.39</v>
      </c>
      <c r="F30" s="26">
        <f t="shared" ref="F30:K30" si="6">F26-1%</f>
        <v>0.39999999999999997</v>
      </c>
      <c r="G30" s="26">
        <f t="shared" si="6"/>
        <v>0.40499999999999997</v>
      </c>
      <c r="H30" s="26">
        <f t="shared" si="6"/>
        <v>0.41</v>
      </c>
      <c r="I30" s="26">
        <f t="shared" si="6"/>
        <v>0.41</v>
      </c>
      <c r="J30" s="26">
        <f t="shared" si="6"/>
        <v>0.41</v>
      </c>
      <c r="K30" s="27">
        <f t="shared" si="6"/>
        <v>0.41</v>
      </c>
      <c r="L30" s="10"/>
      <c r="M30" s="10"/>
    </row>
    <row r="31" spans="2:20">
      <c r="B31" s="60" t="s">
        <v>53</v>
      </c>
      <c r="C31" s="26"/>
      <c r="D31" s="26"/>
      <c r="E31" s="26">
        <f>E27-2%</f>
        <v>0.45999999999999996</v>
      </c>
      <c r="F31" s="26">
        <f t="shared" ref="F31:K31" si="7">F27-2%</f>
        <v>0.47</v>
      </c>
      <c r="G31" s="26">
        <f t="shared" si="7"/>
        <v>0.48</v>
      </c>
      <c r="H31" s="26">
        <f t="shared" si="7"/>
        <v>0.48</v>
      </c>
      <c r="I31" s="26">
        <f t="shared" si="7"/>
        <v>0.48</v>
      </c>
      <c r="J31" s="26">
        <f t="shared" si="7"/>
        <v>0.48</v>
      </c>
      <c r="K31" s="27">
        <f t="shared" si="7"/>
        <v>0.48</v>
      </c>
      <c r="L31" s="10"/>
      <c r="M31" s="10"/>
    </row>
    <row r="32" spans="2:20">
      <c r="B32" s="199" t="s">
        <v>54</v>
      </c>
      <c r="C32" s="200"/>
      <c r="D32" s="200"/>
      <c r="E32" s="200"/>
      <c r="F32" s="200"/>
      <c r="G32" s="200"/>
      <c r="H32" s="200"/>
      <c r="I32" s="200"/>
      <c r="J32" s="200"/>
      <c r="K32" s="201"/>
      <c r="L32" s="10"/>
      <c r="M32" s="10"/>
    </row>
    <row r="33" spans="2:49">
      <c r="B33" s="18" t="s">
        <v>47</v>
      </c>
      <c r="C33" s="26"/>
      <c r="D33" s="26"/>
      <c r="E33" s="26">
        <v>0.45</v>
      </c>
      <c r="F33" s="26">
        <v>0.5</v>
      </c>
      <c r="G33" s="26">
        <v>0.6</v>
      </c>
      <c r="H33" s="26">
        <v>0.8</v>
      </c>
      <c r="I33" s="26">
        <v>0.85</v>
      </c>
      <c r="J33" s="26">
        <v>0.9</v>
      </c>
      <c r="K33" s="27">
        <v>0.95</v>
      </c>
      <c r="L33" s="10"/>
      <c r="M33" s="10"/>
    </row>
    <row r="34" spans="2:49">
      <c r="B34" s="18" t="s">
        <v>48</v>
      </c>
      <c r="C34" s="26"/>
      <c r="D34" s="26"/>
      <c r="E34" s="26"/>
      <c r="F34" s="26">
        <v>0.4</v>
      </c>
      <c r="G34" s="26">
        <v>0.5</v>
      </c>
      <c r="H34" s="26">
        <v>0.65</v>
      </c>
      <c r="I34" s="26">
        <v>0.8</v>
      </c>
      <c r="J34" s="26">
        <v>0.95</v>
      </c>
      <c r="K34" s="27">
        <v>0.95</v>
      </c>
      <c r="L34" s="10"/>
      <c r="M34" s="10"/>
    </row>
    <row r="35" spans="2:49">
      <c r="B35" s="21"/>
      <c r="C35" s="19"/>
      <c r="D35" s="19"/>
      <c r="E35" s="19"/>
      <c r="F35" s="19"/>
      <c r="G35" s="19"/>
      <c r="H35" s="19"/>
      <c r="I35" s="19"/>
      <c r="J35" s="19"/>
      <c r="K35" s="20"/>
    </row>
    <row r="36" spans="2:49">
      <c r="B36" s="199" t="s">
        <v>55</v>
      </c>
      <c r="C36" s="200"/>
      <c r="D36" s="200"/>
      <c r="E36" s="200"/>
      <c r="F36" s="200"/>
      <c r="G36" s="200"/>
      <c r="H36" s="200"/>
      <c r="I36" s="200"/>
      <c r="J36" s="200"/>
      <c r="K36" s="201"/>
      <c r="L36" s="8"/>
    </row>
    <row r="37" spans="2:49">
      <c r="B37" s="18" t="s">
        <v>47</v>
      </c>
      <c r="C37" s="19"/>
      <c r="D37" s="96">
        <v>481950000</v>
      </c>
      <c r="E37" s="96">
        <v>963900000</v>
      </c>
      <c r="F37" s="96">
        <v>1890000000</v>
      </c>
      <c r="G37" s="96">
        <v>2680920000</v>
      </c>
      <c r="H37" s="96">
        <v>3557200000</v>
      </c>
      <c r="I37" s="96">
        <v>3783350000</v>
      </c>
      <c r="J37" s="96">
        <v>4005900000</v>
      </c>
      <c r="K37" s="97">
        <v>4228450000</v>
      </c>
      <c r="L37" s="8"/>
    </row>
    <row r="38" spans="2:49">
      <c r="B38" s="28" t="s">
        <v>48</v>
      </c>
      <c r="C38" s="29"/>
      <c r="D38" s="98">
        <v>457852500</v>
      </c>
      <c r="E38" s="98">
        <v>915705000</v>
      </c>
      <c r="F38" s="98">
        <v>1795500000</v>
      </c>
      <c r="G38" s="98">
        <v>2546874000</v>
      </c>
      <c r="H38" s="98">
        <v>3379340000</v>
      </c>
      <c r="I38" s="98">
        <v>3594182500</v>
      </c>
      <c r="J38" s="98">
        <v>3805605000</v>
      </c>
      <c r="K38" s="99">
        <v>4017027500</v>
      </c>
      <c r="L38" s="8"/>
    </row>
    <row r="39" spans="2:49">
      <c r="B39" s="85"/>
      <c r="C39" s="19"/>
      <c r="D39" s="125"/>
      <c r="E39" s="125"/>
      <c r="F39" s="125"/>
      <c r="G39" s="125"/>
      <c r="H39" s="125"/>
      <c r="I39" s="125"/>
      <c r="J39" s="125"/>
      <c r="K39" s="125"/>
      <c r="L39" s="8"/>
    </row>
    <row r="40" spans="2:49">
      <c r="B40" s="126" t="s">
        <v>113</v>
      </c>
      <c r="C40" s="127" t="s">
        <v>47</v>
      </c>
      <c r="D40" s="127" t="s">
        <v>48</v>
      </c>
      <c r="L40" s="8"/>
    </row>
    <row r="41" spans="2:49">
      <c r="B41" s="132" t="s">
        <v>64</v>
      </c>
      <c r="C41" s="128">
        <v>0.21</v>
      </c>
      <c r="D41" s="129">
        <v>0.24</v>
      </c>
      <c r="E41" s="124"/>
      <c r="L41" s="8"/>
      <c r="Z41" s="207"/>
      <c r="AA41" s="207"/>
      <c r="AB41" s="207"/>
      <c r="AC41" s="5"/>
    </row>
    <row r="42" spans="2:49">
      <c r="B42" s="132" t="s">
        <v>15</v>
      </c>
      <c r="C42" s="130">
        <v>0.1242</v>
      </c>
      <c r="D42" s="131">
        <f>wacc</f>
        <v>0.1242</v>
      </c>
      <c r="L42" s="8"/>
      <c r="Z42" s="194"/>
      <c r="AA42" s="194"/>
      <c r="AB42" s="194"/>
      <c r="AC42" s="106"/>
      <c r="AD42" s="106"/>
      <c r="AE42" s="106"/>
      <c r="AF42" s="106"/>
      <c r="AG42" s="106"/>
      <c r="AH42" s="106"/>
      <c r="AI42" s="106"/>
      <c r="AJ42" s="106"/>
      <c r="AK42" s="106"/>
      <c r="AL42" s="106"/>
      <c r="AM42" s="106"/>
      <c r="AN42" s="106"/>
      <c r="AO42" s="106"/>
      <c r="AP42" s="106"/>
      <c r="AQ42" s="106"/>
      <c r="AR42" s="106"/>
      <c r="AS42" s="106"/>
      <c r="AT42" s="106"/>
      <c r="AU42" s="106"/>
      <c r="AV42" s="106"/>
    </row>
    <row r="43" spans="2:49">
      <c r="B43" s="132" t="s">
        <v>70</v>
      </c>
      <c r="C43" s="202">
        <v>0.03</v>
      </c>
      <c r="D43" s="202"/>
      <c r="E43" s="105"/>
      <c r="F43" s="8"/>
      <c r="G43" s="8"/>
      <c r="H43" s="8"/>
      <c r="I43" s="8"/>
      <c r="J43" s="8"/>
      <c r="K43" s="8"/>
      <c r="L43" s="8"/>
      <c r="AA43" s="106"/>
      <c r="AB43" s="67"/>
      <c r="AC43" s="107"/>
      <c r="AD43" s="107"/>
      <c r="AE43" s="107"/>
      <c r="AF43" s="107"/>
      <c r="AG43" s="107"/>
      <c r="AH43" s="107"/>
      <c r="AI43" s="107"/>
      <c r="AJ43" s="107"/>
      <c r="AK43" s="107"/>
      <c r="AL43" s="107"/>
      <c r="AM43" s="107"/>
      <c r="AN43" s="107"/>
      <c r="AO43" s="107"/>
      <c r="AP43" s="107"/>
      <c r="AQ43" s="107"/>
      <c r="AR43" s="107"/>
      <c r="AS43" s="107"/>
      <c r="AT43" s="107"/>
      <c r="AU43" s="107"/>
      <c r="AV43" s="107"/>
      <c r="AW43" s="107"/>
    </row>
    <row r="44" spans="2:49">
      <c r="L44" s="8"/>
      <c r="AA44" s="106"/>
      <c r="AB44" s="67"/>
      <c r="AC44" s="107"/>
      <c r="AD44" s="107"/>
      <c r="AE44" s="107"/>
      <c r="AF44" s="107"/>
      <c r="AG44" s="107"/>
      <c r="AH44" s="107"/>
      <c r="AI44" s="107"/>
      <c r="AJ44" s="107"/>
      <c r="AK44" s="107"/>
      <c r="AL44" s="107"/>
      <c r="AM44" s="107"/>
      <c r="AN44" s="107"/>
      <c r="AO44" s="107"/>
      <c r="AP44" s="107"/>
      <c r="AQ44" s="107"/>
      <c r="AR44" s="107"/>
      <c r="AS44" s="107"/>
      <c r="AT44" s="107"/>
      <c r="AU44" s="107"/>
      <c r="AV44" s="107"/>
      <c r="AW44" s="107"/>
    </row>
    <row r="45" spans="2:49">
      <c r="B45" s="94" t="s">
        <v>47</v>
      </c>
      <c r="AA45" s="106"/>
      <c r="AB45" s="67"/>
      <c r="AC45" s="107"/>
      <c r="AD45" s="107"/>
      <c r="AE45" s="107"/>
      <c r="AF45" s="107"/>
      <c r="AG45" s="107"/>
      <c r="AH45" s="107"/>
      <c r="AI45" s="107"/>
      <c r="AJ45" s="107"/>
      <c r="AK45" s="107"/>
      <c r="AL45" s="107"/>
      <c r="AM45" s="107"/>
      <c r="AN45" s="107"/>
      <c r="AO45" s="107"/>
      <c r="AP45" s="107"/>
      <c r="AQ45" s="107"/>
      <c r="AR45" s="107"/>
      <c r="AS45" s="107"/>
      <c r="AT45" s="107"/>
      <c r="AU45" s="107"/>
      <c r="AV45" s="107"/>
      <c r="AW45" s="107"/>
    </row>
    <row r="46" spans="2:49">
      <c r="B46" s="15"/>
      <c r="C46" s="64">
        <f>+C2</f>
        <v>44197</v>
      </c>
      <c r="D46" s="64">
        <f t="shared" ref="D46:K46" si="8">+D2</f>
        <v>44561</v>
      </c>
      <c r="E46" s="64">
        <f t="shared" si="8"/>
        <v>44926</v>
      </c>
      <c r="F46" s="64">
        <f t="shared" si="8"/>
        <v>45291</v>
      </c>
      <c r="G46" s="64">
        <f t="shared" si="8"/>
        <v>45657</v>
      </c>
      <c r="H46" s="64">
        <f t="shared" si="8"/>
        <v>46022</v>
      </c>
      <c r="I46" s="64">
        <f t="shared" si="8"/>
        <v>46387</v>
      </c>
      <c r="J46" s="64">
        <f t="shared" si="8"/>
        <v>46752</v>
      </c>
      <c r="K46" s="64">
        <f t="shared" si="8"/>
        <v>47118</v>
      </c>
      <c r="L46" s="8"/>
      <c r="AA46" s="106"/>
      <c r="AB46" s="67"/>
      <c r="AC46" s="107"/>
      <c r="AD46" s="107"/>
      <c r="AE46" s="107"/>
      <c r="AF46" s="107"/>
      <c r="AG46" s="107"/>
      <c r="AH46" s="107"/>
      <c r="AI46" s="107"/>
      <c r="AJ46" s="107"/>
      <c r="AK46" s="107"/>
      <c r="AL46" s="107"/>
      <c r="AM46" s="107"/>
      <c r="AN46" s="107"/>
      <c r="AO46" s="107"/>
      <c r="AP46" s="107"/>
      <c r="AQ46" s="107"/>
      <c r="AR46" s="107"/>
      <c r="AS46" s="107"/>
      <c r="AT46" s="107"/>
      <c r="AU46" s="107"/>
      <c r="AV46" s="107"/>
      <c r="AW46" s="107"/>
    </row>
    <row r="47" spans="2:49">
      <c r="B47" s="15" t="s">
        <v>11</v>
      </c>
      <c r="C47" s="64"/>
      <c r="D47" s="64"/>
      <c r="E47" s="146">
        <f>(E5*E19+E6*E20+E7*E21)*E33</f>
        <v>4050000000</v>
      </c>
      <c r="F47" s="146">
        <f t="shared" ref="F47:K47" si="9">(F5*F19+F6*F20+F7*F21)*F33</f>
        <v>8062500000</v>
      </c>
      <c r="G47" s="146">
        <f t="shared" si="9"/>
        <v>11550000000</v>
      </c>
      <c r="H47" s="146">
        <f t="shared" si="9"/>
        <v>15400000000</v>
      </c>
      <c r="I47" s="146">
        <f t="shared" si="9"/>
        <v>16362500000</v>
      </c>
      <c r="J47" s="146">
        <f t="shared" si="9"/>
        <v>17325000000</v>
      </c>
      <c r="K47" s="146">
        <f t="shared" si="9"/>
        <v>18287500000</v>
      </c>
      <c r="L47" s="8"/>
      <c r="AA47" s="106"/>
      <c r="AB47" s="67"/>
      <c r="AC47" s="107"/>
      <c r="AD47" s="107"/>
      <c r="AE47" s="107"/>
      <c r="AF47" s="107"/>
      <c r="AG47" s="107"/>
      <c r="AH47" s="107"/>
      <c r="AI47" s="107"/>
      <c r="AJ47" s="107"/>
      <c r="AK47" s="107"/>
      <c r="AL47" s="107"/>
      <c r="AM47" s="107"/>
      <c r="AN47" s="107"/>
      <c r="AO47" s="107"/>
      <c r="AP47" s="107"/>
      <c r="AQ47" s="107"/>
      <c r="AR47" s="107"/>
      <c r="AS47" s="107"/>
      <c r="AT47" s="107"/>
      <c r="AU47" s="107"/>
      <c r="AV47" s="107"/>
      <c r="AW47" s="107"/>
    </row>
    <row r="48" spans="2:49">
      <c r="B48" s="15"/>
      <c r="C48" s="64"/>
      <c r="D48" s="64"/>
      <c r="E48" s="180">
        <v>0</v>
      </c>
      <c r="F48" s="181">
        <f>$E$48</f>
        <v>0</v>
      </c>
      <c r="G48" s="181">
        <f t="shared" ref="G48:K48" si="10">$E$48</f>
        <v>0</v>
      </c>
      <c r="H48" s="181">
        <f t="shared" si="10"/>
        <v>0</v>
      </c>
      <c r="I48" s="181">
        <f t="shared" si="10"/>
        <v>0</v>
      </c>
      <c r="J48" s="181">
        <f t="shared" si="10"/>
        <v>0</v>
      </c>
      <c r="K48" s="181">
        <f t="shared" si="10"/>
        <v>0</v>
      </c>
      <c r="L48" s="8"/>
      <c r="AA48" s="106"/>
      <c r="AB48" s="67"/>
      <c r="AC48" s="107"/>
      <c r="AD48" s="107"/>
      <c r="AE48" s="107"/>
      <c r="AF48" s="107"/>
      <c r="AG48" s="107"/>
      <c r="AH48" s="107"/>
      <c r="AI48" s="107"/>
      <c r="AJ48" s="107"/>
      <c r="AK48" s="107"/>
      <c r="AL48" s="107"/>
      <c r="AM48" s="107"/>
      <c r="AN48" s="107"/>
      <c r="AO48" s="107"/>
      <c r="AP48" s="107"/>
      <c r="AQ48" s="107"/>
      <c r="AR48" s="107"/>
      <c r="AS48" s="107"/>
      <c r="AT48" s="107"/>
      <c r="AU48" s="107"/>
      <c r="AV48" s="107"/>
      <c r="AW48" s="107"/>
    </row>
    <row r="49" spans="2:49">
      <c r="B49" s="1" t="s">
        <v>85</v>
      </c>
      <c r="C49" s="8"/>
      <c r="D49" s="8"/>
      <c r="E49" s="65">
        <f>E47*(1+E48)</f>
        <v>4050000000</v>
      </c>
      <c r="F49" s="65">
        <f t="shared" ref="F49:K49" si="11">F47*(1+F48)</f>
        <v>8062500000</v>
      </c>
      <c r="G49" s="65">
        <f t="shared" si="11"/>
        <v>11550000000</v>
      </c>
      <c r="H49" s="65">
        <f t="shared" si="11"/>
        <v>15400000000</v>
      </c>
      <c r="I49" s="65">
        <f t="shared" si="11"/>
        <v>16362500000</v>
      </c>
      <c r="J49" s="65">
        <f t="shared" si="11"/>
        <v>17325000000</v>
      </c>
      <c r="K49" s="65">
        <f t="shared" si="11"/>
        <v>18287500000</v>
      </c>
      <c r="L49" s="8"/>
      <c r="AA49" s="106"/>
      <c r="AB49" s="67"/>
      <c r="AC49" s="107"/>
      <c r="AD49" s="107"/>
      <c r="AE49" s="107"/>
      <c r="AF49" s="107"/>
      <c r="AG49" s="107"/>
      <c r="AH49" s="107"/>
      <c r="AI49" s="107"/>
      <c r="AJ49" s="107"/>
      <c r="AK49" s="107"/>
      <c r="AL49" s="107"/>
      <c r="AM49" s="107"/>
      <c r="AN49" s="107"/>
      <c r="AO49" s="107"/>
      <c r="AP49" s="107"/>
      <c r="AQ49" s="107"/>
      <c r="AR49" s="107"/>
      <c r="AS49" s="107"/>
      <c r="AT49" s="107"/>
      <c r="AU49" s="107"/>
      <c r="AV49" s="107"/>
      <c r="AW49" s="107"/>
    </row>
    <row r="50" spans="2:49">
      <c r="B50" s="15" t="s">
        <v>12</v>
      </c>
      <c r="C50" s="64"/>
      <c r="D50" s="64"/>
      <c r="E50" s="146">
        <f>(E5*E19*E25+E6*E20*E26+E7*E21*E27)*E33</f>
        <v>1640250000</v>
      </c>
      <c r="F50" s="146">
        <f t="shared" ref="F50:K50" si="12">(F5*F19*F25+F6*F20*F26+F7*F21*F27)*F33</f>
        <v>3337500000</v>
      </c>
      <c r="G50" s="146">
        <f t="shared" si="12"/>
        <v>4847700000</v>
      </c>
      <c r="H50" s="146">
        <f t="shared" si="12"/>
        <v>6507000000</v>
      </c>
      <c r="I50" s="146">
        <f t="shared" si="12"/>
        <v>6904125000</v>
      </c>
      <c r="J50" s="146">
        <f t="shared" si="12"/>
        <v>7310250000</v>
      </c>
      <c r="K50" s="146">
        <f t="shared" si="12"/>
        <v>7716375000</v>
      </c>
      <c r="L50" s="8"/>
      <c r="AA50" s="106"/>
      <c r="AB50" s="67"/>
      <c r="AC50" s="107"/>
      <c r="AD50" s="107"/>
      <c r="AE50" s="107"/>
      <c r="AF50" s="107"/>
      <c r="AG50" s="107"/>
      <c r="AH50" s="107"/>
      <c r="AI50" s="107"/>
      <c r="AJ50" s="107"/>
      <c r="AK50" s="107"/>
      <c r="AL50" s="107"/>
      <c r="AM50" s="107"/>
      <c r="AN50" s="107"/>
      <c r="AO50" s="107"/>
      <c r="AP50" s="107"/>
      <c r="AQ50" s="107"/>
      <c r="AR50" s="107"/>
      <c r="AS50" s="107"/>
      <c r="AT50" s="107"/>
      <c r="AU50" s="107"/>
      <c r="AV50" s="107"/>
      <c r="AW50" s="107"/>
    </row>
    <row r="51" spans="2:49">
      <c r="B51" s="15"/>
      <c r="C51" s="64"/>
      <c r="D51" s="64"/>
      <c r="E51" s="180">
        <v>0</v>
      </c>
      <c r="F51" s="181">
        <f>$E$51</f>
        <v>0</v>
      </c>
      <c r="G51" s="181">
        <f t="shared" ref="G51:K51" si="13">$E$51</f>
        <v>0</v>
      </c>
      <c r="H51" s="181">
        <f t="shared" si="13"/>
        <v>0</v>
      </c>
      <c r="I51" s="181">
        <f t="shared" si="13"/>
        <v>0</v>
      </c>
      <c r="J51" s="181">
        <f t="shared" si="13"/>
        <v>0</v>
      </c>
      <c r="K51" s="181">
        <f t="shared" si="13"/>
        <v>0</v>
      </c>
      <c r="L51" s="8"/>
      <c r="AA51" s="106"/>
      <c r="AB51" s="67"/>
      <c r="AC51" s="107"/>
      <c r="AD51" s="107"/>
      <c r="AE51" s="107"/>
      <c r="AF51" s="107"/>
      <c r="AG51" s="107"/>
      <c r="AH51" s="107"/>
      <c r="AI51" s="107"/>
      <c r="AJ51" s="107"/>
      <c r="AK51" s="107"/>
      <c r="AL51" s="107"/>
      <c r="AM51" s="107"/>
      <c r="AN51" s="107"/>
      <c r="AO51" s="107"/>
      <c r="AP51" s="107"/>
      <c r="AQ51" s="107"/>
      <c r="AR51" s="107"/>
      <c r="AS51" s="107"/>
      <c r="AT51" s="107"/>
      <c r="AU51" s="107"/>
      <c r="AV51" s="107"/>
      <c r="AW51" s="107"/>
    </row>
    <row r="52" spans="2:49">
      <c r="B52" s="1" t="s">
        <v>134</v>
      </c>
      <c r="C52" s="8"/>
      <c r="D52" s="8"/>
      <c r="E52" s="65">
        <f>E50*(1+E51)</f>
        <v>1640250000</v>
      </c>
      <c r="F52" s="65">
        <f t="shared" ref="F52:K52" si="14">F50*(1+F51)</f>
        <v>3337500000</v>
      </c>
      <c r="G52" s="65">
        <f t="shared" si="14"/>
        <v>4847700000</v>
      </c>
      <c r="H52" s="65">
        <f t="shared" si="14"/>
        <v>6507000000</v>
      </c>
      <c r="I52" s="65">
        <f t="shared" si="14"/>
        <v>6904125000</v>
      </c>
      <c r="J52" s="65">
        <f t="shared" si="14"/>
        <v>7310250000</v>
      </c>
      <c r="K52" s="65">
        <f t="shared" si="14"/>
        <v>7716375000</v>
      </c>
      <c r="L52" s="8"/>
      <c r="AA52" s="106"/>
      <c r="AB52" s="67"/>
      <c r="AC52" s="107"/>
      <c r="AD52" s="107"/>
      <c r="AE52" s="107"/>
      <c r="AF52" s="107"/>
      <c r="AG52" s="107"/>
      <c r="AH52" s="107"/>
      <c r="AI52" s="107"/>
      <c r="AJ52" s="107"/>
      <c r="AK52" s="107"/>
      <c r="AL52" s="107"/>
      <c r="AM52" s="107"/>
      <c r="AN52" s="107"/>
      <c r="AO52" s="107"/>
      <c r="AP52" s="107"/>
      <c r="AQ52" s="107"/>
      <c r="AR52" s="107"/>
      <c r="AS52" s="107"/>
      <c r="AT52" s="107"/>
      <c r="AU52" s="107"/>
      <c r="AV52" s="107"/>
      <c r="AW52" s="107"/>
    </row>
    <row r="53" spans="2:49">
      <c r="B53" s="1" t="s">
        <v>0</v>
      </c>
      <c r="C53" s="8"/>
      <c r="D53" s="8"/>
      <c r="E53" s="65">
        <f>E49-E52</f>
        <v>2409750000</v>
      </c>
      <c r="F53" s="65">
        <f t="shared" ref="F53:K53" si="15">F49-F52</f>
        <v>4725000000</v>
      </c>
      <c r="G53" s="65">
        <f t="shared" si="15"/>
        <v>6702300000</v>
      </c>
      <c r="H53" s="65">
        <f t="shared" si="15"/>
        <v>8893000000</v>
      </c>
      <c r="I53" s="65">
        <f t="shared" si="15"/>
        <v>9458375000</v>
      </c>
      <c r="J53" s="65">
        <f t="shared" si="15"/>
        <v>10014750000</v>
      </c>
      <c r="K53" s="65">
        <f t="shared" si="15"/>
        <v>10571125000</v>
      </c>
      <c r="L53" s="8"/>
      <c r="AA53" s="106"/>
      <c r="AB53" s="67"/>
      <c r="AC53" s="107"/>
      <c r="AD53" s="107"/>
      <c r="AE53" s="107"/>
      <c r="AF53" s="107"/>
      <c r="AG53" s="107"/>
      <c r="AH53" s="107"/>
      <c r="AI53" s="107"/>
      <c r="AJ53" s="107"/>
      <c r="AK53" s="107"/>
      <c r="AL53" s="107"/>
      <c r="AM53" s="107"/>
      <c r="AN53" s="107"/>
      <c r="AO53" s="107"/>
      <c r="AP53" s="107"/>
      <c r="AQ53" s="107"/>
      <c r="AR53" s="107"/>
      <c r="AS53" s="107"/>
      <c r="AT53" s="107"/>
      <c r="AU53" s="107"/>
      <c r="AV53" s="107"/>
      <c r="AW53" s="107"/>
    </row>
    <row r="54" spans="2:49">
      <c r="B54" s="69" t="s">
        <v>58</v>
      </c>
      <c r="C54" s="11"/>
      <c r="D54" s="11"/>
      <c r="E54" s="11">
        <f>+E53/E49</f>
        <v>0.59499999999999997</v>
      </c>
      <c r="F54" s="11">
        <f t="shared" ref="F54:K54" si="16">+F53/F49</f>
        <v>0.586046511627907</v>
      </c>
      <c r="G54" s="11">
        <f t="shared" si="16"/>
        <v>0.58028571428571429</v>
      </c>
      <c r="H54" s="11">
        <f t="shared" si="16"/>
        <v>0.57746753246753246</v>
      </c>
      <c r="I54" s="11">
        <f t="shared" si="16"/>
        <v>0.57805194805194804</v>
      </c>
      <c r="J54" s="11">
        <f t="shared" si="16"/>
        <v>0.57805194805194804</v>
      </c>
      <c r="K54" s="11">
        <f t="shared" si="16"/>
        <v>0.57805194805194804</v>
      </c>
      <c r="L54" s="8"/>
      <c r="AA54" s="106"/>
      <c r="AB54" s="67"/>
      <c r="AC54" s="172"/>
      <c r="AD54" s="107"/>
      <c r="AE54" s="107"/>
      <c r="AF54" s="107"/>
      <c r="AG54" s="107"/>
      <c r="AH54" s="107"/>
      <c r="AI54" s="107"/>
      <c r="AJ54" s="107"/>
      <c r="AK54" s="107"/>
      <c r="AL54" s="107"/>
      <c r="AM54" s="107"/>
      <c r="AN54" s="107"/>
      <c r="AO54" s="107"/>
      <c r="AP54" s="107"/>
      <c r="AQ54" s="107"/>
      <c r="AR54" s="107"/>
      <c r="AS54" s="107"/>
      <c r="AT54" s="107"/>
      <c r="AU54" s="107"/>
      <c r="AV54" s="107"/>
      <c r="AW54" s="107"/>
    </row>
    <row r="55" spans="2:49">
      <c r="C55" s="8"/>
      <c r="D55" s="8"/>
      <c r="E55" s="8"/>
      <c r="F55" s="8"/>
      <c r="G55" s="8"/>
      <c r="H55" s="8"/>
      <c r="I55" s="8"/>
      <c r="J55" s="8"/>
      <c r="K55" s="8"/>
      <c r="L55" s="8"/>
      <c r="AA55" s="106"/>
      <c r="AB55" s="67"/>
      <c r="AC55" s="172"/>
      <c r="AD55" s="107"/>
      <c r="AE55" s="107"/>
      <c r="AF55" s="107"/>
      <c r="AG55" s="107"/>
      <c r="AH55" s="107"/>
      <c r="AI55" s="107"/>
      <c r="AJ55" s="107"/>
      <c r="AK55" s="107"/>
      <c r="AL55" s="107"/>
      <c r="AM55" s="107"/>
      <c r="AN55" s="107"/>
      <c r="AO55" s="107"/>
      <c r="AP55" s="107"/>
      <c r="AQ55" s="107"/>
      <c r="AR55" s="107"/>
      <c r="AS55" s="107"/>
      <c r="AT55" s="107"/>
      <c r="AU55" s="107"/>
      <c r="AV55" s="107"/>
      <c r="AW55" s="107"/>
    </row>
    <row r="56" spans="2:49">
      <c r="B56" s="1" t="s">
        <v>10</v>
      </c>
      <c r="C56" s="65">
        <f t="shared" ref="C56:D56" si="17">+-C37</f>
        <v>0</v>
      </c>
      <c r="D56" s="65">
        <f t="shared" si="17"/>
        <v>-481950000</v>
      </c>
      <c r="E56" s="65">
        <f>+-E37</f>
        <v>-963900000</v>
      </c>
      <c r="F56" s="65">
        <f t="shared" ref="F56:K56" si="18">+-F37</f>
        <v>-1890000000</v>
      </c>
      <c r="G56" s="65">
        <f t="shared" si="18"/>
        <v>-2680920000</v>
      </c>
      <c r="H56" s="65">
        <f t="shared" si="18"/>
        <v>-3557200000</v>
      </c>
      <c r="I56" s="65">
        <f t="shared" si="18"/>
        <v>-3783350000</v>
      </c>
      <c r="J56" s="65">
        <f t="shared" si="18"/>
        <v>-4005900000</v>
      </c>
      <c r="K56" s="65">
        <f t="shared" si="18"/>
        <v>-4228450000</v>
      </c>
      <c r="L56" s="8"/>
      <c r="M56" s="8"/>
      <c r="N56" s="8"/>
      <c r="O56" s="8"/>
      <c r="AA56" s="106"/>
      <c r="AB56" s="67"/>
      <c r="AC56" s="172"/>
      <c r="AD56" s="107"/>
      <c r="AE56" s="107"/>
      <c r="AF56" s="107"/>
      <c r="AG56" s="107"/>
      <c r="AH56" s="107"/>
      <c r="AI56" s="107"/>
      <c r="AJ56" s="107"/>
      <c r="AK56" s="107"/>
      <c r="AL56" s="107"/>
      <c r="AM56" s="107"/>
      <c r="AN56" s="107"/>
      <c r="AO56" s="107"/>
      <c r="AP56" s="107"/>
      <c r="AQ56" s="107"/>
      <c r="AR56" s="107"/>
      <c r="AS56" s="107"/>
      <c r="AT56" s="107"/>
      <c r="AU56" s="107"/>
      <c r="AV56" s="107"/>
      <c r="AW56" s="107"/>
    </row>
    <row r="57" spans="2:49">
      <c r="B57" s="1" t="s">
        <v>1</v>
      </c>
      <c r="C57" s="65">
        <f t="shared" ref="C57" si="19">+C53+C56</f>
        <v>0</v>
      </c>
      <c r="D57" s="65">
        <f>+D53+D56</f>
        <v>-481950000</v>
      </c>
      <c r="E57" s="65">
        <f>+E53+E56</f>
        <v>1445850000</v>
      </c>
      <c r="F57" s="65">
        <f t="shared" ref="F57:K57" si="20">+F53+F56</f>
        <v>2835000000</v>
      </c>
      <c r="G57" s="65">
        <f t="shared" si="20"/>
        <v>4021380000</v>
      </c>
      <c r="H57" s="65">
        <f t="shared" si="20"/>
        <v>5335800000</v>
      </c>
      <c r="I57" s="65">
        <f t="shared" si="20"/>
        <v>5675025000</v>
      </c>
      <c r="J57" s="65">
        <f t="shared" si="20"/>
        <v>6008850000</v>
      </c>
      <c r="K57" s="65">
        <f t="shared" si="20"/>
        <v>6342675000</v>
      </c>
      <c r="L57" s="8"/>
      <c r="M57" s="8"/>
      <c r="N57" s="8"/>
      <c r="O57" s="8"/>
      <c r="AA57" s="106"/>
      <c r="AB57" s="67"/>
      <c r="AC57" s="172"/>
      <c r="AD57" s="107"/>
      <c r="AE57" s="107"/>
      <c r="AF57" s="107"/>
      <c r="AG57" s="107"/>
      <c r="AH57" s="107"/>
      <c r="AI57" s="107"/>
      <c r="AJ57" s="107"/>
      <c r="AK57" s="107"/>
      <c r="AL57" s="107"/>
      <c r="AM57" s="107"/>
      <c r="AN57" s="107"/>
      <c r="AO57" s="107"/>
      <c r="AP57" s="107"/>
      <c r="AQ57" s="107"/>
      <c r="AR57" s="107"/>
      <c r="AS57" s="107"/>
      <c r="AT57" s="107"/>
      <c r="AU57" s="107"/>
      <c r="AV57" s="107"/>
      <c r="AW57" s="107"/>
    </row>
    <row r="58" spans="2:49">
      <c r="B58" s="69" t="s">
        <v>59</v>
      </c>
      <c r="C58" s="11"/>
      <c r="D58" s="11"/>
      <c r="E58" s="11">
        <f>+E57/E49</f>
        <v>0.35699999999999998</v>
      </c>
      <c r="F58" s="11">
        <f t="shared" ref="F58:K58" si="21">+F57/F49</f>
        <v>0.35162790697674418</v>
      </c>
      <c r="G58" s="11">
        <f t="shared" si="21"/>
        <v>0.34817142857142858</v>
      </c>
      <c r="H58" s="11">
        <f t="shared" si="21"/>
        <v>0.3464805194805195</v>
      </c>
      <c r="I58" s="11">
        <f t="shared" si="21"/>
        <v>0.34683116883116882</v>
      </c>
      <c r="J58" s="11">
        <f t="shared" si="21"/>
        <v>0.34683116883116882</v>
      </c>
      <c r="K58" s="11">
        <f t="shared" si="21"/>
        <v>0.34683116883116882</v>
      </c>
      <c r="L58" s="8"/>
      <c r="M58" s="8"/>
      <c r="N58" s="8"/>
      <c r="O58" s="8"/>
      <c r="AA58" s="106"/>
      <c r="AB58" s="67"/>
      <c r="AC58" s="172"/>
      <c r="AD58" s="107"/>
      <c r="AE58" s="107"/>
      <c r="AF58" s="107"/>
      <c r="AG58" s="107"/>
      <c r="AH58" s="107"/>
      <c r="AI58" s="107"/>
      <c r="AJ58" s="107"/>
      <c r="AK58" s="107"/>
      <c r="AL58" s="107"/>
      <c r="AM58" s="107"/>
      <c r="AN58" s="107"/>
      <c r="AO58" s="107"/>
      <c r="AP58" s="107"/>
      <c r="AQ58" s="107"/>
      <c r="AR58" s="107"/>
      <c r="AS58" s="107"/>
      <c r="AT58" s="107"/>
      <c r="AU58" s="107"/>
      <c r="AV58" s="107"/>
      <c r="AW58" s="107"/>
    </row>
    <row r="59" spans="2:49">
      <c r="B59" s="1" t="s">
        <v>13</v>
      </c>
      <c r="C59" s="65">
        <v>0</v>
      </c>
      <c r="D59" s="65">
        <f>+SUM($C13:D13)/20</f>
        <v>350000000</v>
      </c>
      <c r="E59" s="65">
        <f>+SUM($C13:E13)/20</f>
        <v>525000000</v>
      </c>
      <c r="F59" s="65">
        <f>+SUM($C13:F13)/20</f>
        <v>540000000</v>
      </c>
      <c r="G59" s="65">
        <f>+SUM($C13:G13)/20</f>
        <v>555000000</v>
      </c>
      <c r="H59" s="65">
        <f>+SUM($C13:H13)/20</f>
        <v>570000000</v>
      </c>
      <c r="I59" s="65">
        <f>+SUM($C13:I13)/20</f>
        <v>585000000</v>
      </c>
      <c r="J59" s="65">
        <f>+SUM($C13:J13)/20</f>
        <v>600000000</v>
      </c>
      <c r="K59" s="65">
        <f>+SUM($C13:K13)/20</f>
        <v>615000000</v>
      </c>
      <c r="L59" s="8"/>
      <c r="M59" s="8"/>
      <c r="N59" s="8"/>
      <c r="O59" s="8"/>
      <c r="AA59" s="106"/>
      <c r="AB59" s="67"/>
      <c r="AC59" s="172"/>
      <c r="AD59" s="107"/>
      <c r="AE59" s="107"/>
      <c r="AF59" s="107"/>
      <c r="AG59" s="107"/>
      <c r="AH59" s="107"/>
      <c r="AI59" s="107"/>
      <c r="AJ59" s="107"/>
      <c r="AK59" s="107"/>
      <c r="AL59" s="107"/>
      <c r="AM59" s="107"/>
      <c r="AN59" s="107"/>
      <c r="AO59" s="107"/>
      <c r="AP59" s="107"/>
      <c r="AQ59" s="107"/>
      <c r="AR59" s="107"/>
      <c r="AS59" s="107"/>
      <c r="AT59" s="107"/>
      <c r="AU59" s="107"/>
      <c r="AV59" s="107"/>
      <c r="AW59" s="107"/>
    </row>
    <row r="60" spans="2:49">
      <c r="B60" s="1" t="s">
        <v>2</v>
      </c>
      <c r="C60" s="66">
        <f>+C57-C59</f>
        <v>0</v>
      </c>
      <c r="D60" s="66">
        <f>+D57-D59</f>
        <v>-831950000</v>
      </c>
      <c r="E60" s="66">
        <f>+E57-E59</f>
        <v>920850000</v>
      </c>
      <c r="F60" s="66">
        <f t="shared" ref="F60:K60" si="22">+F57-F59</f>
        <v>2295000000</v>
      </c>
      <c r="G60" s="66">
        <f t="shared" si="22"/>
        <v>3466380000</v>
      </c>
      <c r="H60" s="66">
        <f t="shared" si="22"/>
        <v>4765800000</v>
      </c>
      <c r="I60" s="66">
        <f t="shared" si="22"/>
        <v>5090025000</v>
      </c>
      <c r="J60" s="66">
        <f t="shared" si="22"/>
        <v>5408850000</v>
      </c>
      <c r="K60" s="66">
        <f t="shared" si="22"/>
        <v>5727675000</v>
      </c>
      <c r="L60" s="8"/>
      <c r="M60" s="8"/>
      <c r="N60" s="8"/>
      <c r="O60" s="8"/>
      <c r="AA60" s="106"/>
      <c r="AB60" s="67"/>
      <c r="AC60" s="172"/>
      <c r="AD60" s="107"/>
      <c r="AE60" s="107"/>
      <c r="AF60" s="107"/>
      <c r="AG60" s="107"/>
      <c r="AH60" s="107"/>
      <c r="AI60" s="107"/>
      <c r="AJ60" s="107"/>
      <c r="AK60" s="107"/>
      <c r="AL60" s="107"/>
      <c r="AM60" s="107"/>
      <c r="AN60" s="107"/>
      <c r="AO60" s="107"/>
      <c r="AP60" s="107"/>
      <c r="AQ60" s="107"/>
      <c r="AR60" s="107"/>
      <c r="AS60" s="107"/>
      <c r="AT60" s="107"/>
      <c r="AU60" s="107"/>
      <c r="AV60" s="107"/>
      <c r="AW60" s="107"/>
    </row>
    <row r="61" spans="2:49">
      <c r="C61" s="8"/>
      <c r="D61" s="8"/>
      <c r="E61" s="8"/>
      <c r="F61" s="8"/>
      <c r="G61" s="8"/>
      <c r="H61" s="8"/>
      <c r="I61" s="8"/>
      <c r="J61" s="8"/>
      <c r="K61" s="8"/>
      <c r="L61" s="8"/>
      <c r="M61" s="8"/>
      <c r="N61" s="8"/>
      <c r="O61" s="8"/>
      <c r="AA61" s="106"/>
      <c r="AB61" s="67"/>
      <c r="AC61" s="172"/>
      <c r="AD61" s="107"/>
      <c r="AE61" s="107"/>
      <c r="AF61" s="107"/>
      <c r="AG61" s="107"/>
      <c r="AH61" s="107"/>
      <c r="AI61" s="107"/>
      <c r="AJ61" s="107"/>
      <c r="AK61" s="107"/>
      <c r="AL61" s="107"/>
      <c r="AM61" s="107"/>
      <c r="AN61" s="107"/>
      <c r="AO61" s="107"/>
      <c r="AP61" s="107"/>
      <c r="AQ61" s="107"/>
      <c r="AR61" s="107"/>
      <c r="AS61" s="107"/>
      <c r="AT61" s="107"/>
      <c r="AU61" s="107"/>
      <c r="AV61" s="107"/>
      <c r="AW61" s="107"/>
    </row>
    <row r="62" spans="2:49">
      <c r="B62" s="1" t="s">
        <v>17</v>
      </c>
      <c r="C62" s="65">
        <f t="shared" ref="C62:D62" si="23">+C49*C$16</f>
        <v>0</v>
      </c>
      <c r="D62" s="65">
        <f t="shared" si="23"/>
        <v>0</v>
      </c>
      <c r="E62" s="65">
        <f>+E49*E$16</f>
        <v>1620000000</v>
      </c>
      <c r="F62" s="65">
        <f>+F49*F$16</f>
        <v>2821875000</v>
      </c>
      <c r="G62" s="65">
        <f>+G49*G$16</f>
        <v>2887500000</v>
      </c>
      <c r="H62" s="65">
        <f t="shared" ref="H62:K62" si="24">+H49*H$16</f>
        <v>3080000000</v>
      </c>
      <c r="I62" s="65">
        <f t="shared" si="24"/>
        <v>2454375000</v>
      </c>
      <c r="J62" s="65">
        <f t="shared" si="24"/>
        <v>2598750000</v>
      </c>
      <c r="K62" s="65">
        <f t="shared" si="24"/>
        <v>2743125000</v>
      </c>
      <c r="L62" s="8"/>
      <c r="M62" s="8"/>
      <c r="N62" s="8"/>
      <c r="O62" s="8"/>
      <c r="AA62" s="106"/>
      <c r="AB62" s="67"/>
      <c r="AC62" s="172"/>
      <c r="AD62" s="107"/>
      <c r="AE62" s="107"/>
      <c r="AF62" s="107"/>
      <c r="AG62" s="107"/>
      <c r="AH62" s="107"/>
      <c r="AI62" s="107"/>
      <c r="AJ62" s="107"/>
      <c r="AK62" s="107"/>
      <c r="AL62" s="107"/>
      <c r="AM62" s="107"/>
      <c r="AN62" s="107"/>
      <c r="AO62" s="107"/>
      <c r="AP62" s="107"/>
      <c r="AQ62" s="107"/>
      <c r="AR62" s="107"/>
      <c r="AS62" s="107"/>
      <c r="AT62" s="107"/>
      <c r="AU62" s="107"/>
      <c r="AV62" s="107"/>
      <c r="AW62" s="107"/>
    </row>
    <row r="63" spans="2:49">
      <c r="C63" s="8"/>
      <c r="D63" s="1"/>
      <c r="E63" s="8"/>
      <c r="F63" s="8"/>
      <c r="G63" s="8"/>
      <c r="H63" s="8"/>
      <c r="I63" s="8"/>
      <c r="J63" s="8"/>
      <c r="K63" s="8"/>
      <c r="L63" s="8"/>
      <c r="M63" s="8"/>
      <c r="N63" s="8"/>
      <c r="O63" s="8"/>
      <c r="AA63" s="106"/>
      <c r="AB63" s="67"/>
      <c r="AC63" s="172"/>
      <c r="AD63" s="107"/>
      <c r="AE63" s="107"/>
      <c r="AF63" s="107"/>
      <c r="AG63" s="107"/>
      <c r="AH63" s="107"/>
      <c r="AI63" s="107"/>
      <c r="AJ63" s="107"/>
      <c r="AK63" s="107"/>
      <c r="AL63" s="107"/>
      <c r="AM63" s="107"/>
      <c r="AN63" s="107"/>
      <c r="AO63" s="107"/>
      <c r="AP63" s="107"/>
      <c r="AQ63" s="107"/>
      <c r="AR63" s="107"/>
      <c r="AS63" s="107"/>
      <c r="AT63" s="107"/>
      <c r="AU63" s="107"/>
      <c r="AV63" s="107"/>
      <c r="AW63" s="107"/>
    </row>
    <row r="64" spans="2:49">
      <c r="C64" s="30">
        <v>0</v>
      </c>
      <c r="D64" s="30">
        <f>+C64+1</f>
        <v>1</v>
      </c>
      <c r="E64" s="30">
        <f t="shared" ref="E64:X64" si="25">+D64+1</f>
        <v>2</v>
      </c>
      <c r="F64" s="30">
        <f t="shared" si="25"/>
        <v>3</v>
      </c>
      <c r="G64" s="30">
        <f t="shared" si="25"/>
        <v>4</v>
      </c>
      <c r="H64" s="30">
        <f t="shared" si="25"/>
        <v>5</v>
      </c>
      <c r="I64" s="30">
        <f t="shared" si="25"/>
        <v>6</v>
      </c>
      <c r="J64" s="30">
        <f t="shared" si="25"/>
        <v>7</v>
      </c>
      <c r="K64" s="30">
        <f t="shared" si="25"/>
        <v>8</v>
      </c>
      <c r="L64" s="30">
        <f t="shared" si="25"/>
        <v>9</v>
      </c>
      <c r="M64" s="30">
        <f t="shared" si="25"/>
        <v>10</v>
      </c>
      <c r="N64" s="30">
        <f t="shared" si="25"/>
        <v>11</v>
      </c>
      <c r="O64" s="30">
        <f t="shared" si="25"/>
        <v>12</v>
      </c>
      <c r="P64" s="30">
        <f t="shared" si="25"/>
        <v>13</v>
      </c>
      <c r="Q64" s="30">
        <f t="shared" si="25"/>
        <v>14</v>
      </c>
      <c r="R64" s="30">
        <f t="shared" si="25"/>
        <v>15</v>
      </c>
      <c r="S64" s="30">
        <f t="shared" si="25"/>
        <v>16</v>
      </c>
      <c r="T64" s="30">
        <f t="shared" si="25"/>
        <v>17</v>
      </c>
      <c r="U64" s="30">
        <f t="shared" si="25"/>
        <v>18</v>
      </c>
      <c r="V64" s="30">
        <f t="shared" si="25"/>
        <v>19</v>
      </c>
      <c r="W64" s="30">
        <f t="shared" si="25"/>
        <v>20</v>
      </c>
      <c r="X64" s="30">
        <f t="shared" si="25"/>
        <v>21</v>
      </c>
      <c r="AA64" s="106"/>
      <c r="AB64" s="67"/>
      <c r="AC64" s="172"/>
      <c r="AD64" s="107"/>
      <c r="AE64" s="107"/>
      <c r="AF64" s="107"/>
      <c r="AG64" s="107"/>
      <c r="AH64" s="107"/>
      <c r="AI64" s="107"/>
      <c r="AJ64" s="107"/>
      <c r="AK64" s="107"/>
      <c r="AL64" s="107"/>
      <c r="AM64" s="107"/>
      <c r="AN64" s="107"/>
      <c r="AO64" s="107"/>
      <c r="AP64" s="107"/>
      <c r="AQ64" s="107"/>
      <c r="AR64" s="107"/>
      <c r="AS64" s="107"/>
      <c r="AT64" s="107"/>
      <c r="AU64" s="107"/>
      <c r="AV64" s="107"/>
      <c r="AW64" s="107"/>
    </row>
    <row r="65" spans="1:49">
      <c r="B65" s="15"/>
      <c r="C65" s="64">
        <f>+C2</f>
        <v>44197</v>
      </c>
      <c r="D65" s="64">
        <f t="shared" ref="D65:K65" si="26">+D2</f>
        <v>44561</v>
      </c>
      <c r="E65" s="64">
        <f t="shared" si="26"/>
        <v>44926</v>
      </c>
      <c r="F65" s="64">
        <f t="shared" si="26"/>
        <v>45291</v>
      </c>
      <c r="G65" s="64">
        <f t="shared" si="26"/>
        <v>45657</v>
      </c>
      <c r="H65" s="64">
        <f t="shared" si="26"/>
        <v>46022</v>
      </c>
      <c r="I65" s="64">
        <f t="shared" si="26"/>
        <v>46387</v>
      </c>
      <c r="J65" s="64">
        <f t="shared" si="26"/>
        <v>46752</v>
      </c>
      <c r="K65" s="64">
        <f t="shared" si="26"/>
        <v>47118</v>
      </c>
      <c r="L65" s="64">
        <f>K65+365.25</f>
        <v>47483.25</v>
      </c>
      <c r="M65" s="64">
        <f t="shared" ref="M65:X65" si="27">L65+365.25</f>
        <v>47848.5</v>
      </c>
      <c r="N65" s="64">
        <f t="shared" si="27"/>
        <v>48213.75</v>
      </c>
      <c r="O65" s="64">
        <f t="shared" si="27"/>
        <v>48579</v>
      </c>
      <c r="P65" s="64">
        <f t="shared" si="27"/>
        <v>48944.25</v>
      </c>
      <c r="Q65" s="64">
        <f t="shared" si="27"/>
        <v>49309.5</v>
      </c>
      <c r="R65" s="64">
        <f t="shared" si="27"/>
        <v>49674.75</v>
      </c>
      <c r="S65" s="64">
        <f t="shared" si="27"/>
        <v>50040</v>
      </c>
      <c r="T65" s="64">
        <f t="shared" si="27"/>
        <v>50405.25</v>
      </c>
      <c r="U65" s="64">
        <f t="shared" si="27"/>
        <v>50770.5</v>
      </c>
      <c r="V65" s="64">
        <f t="shared" si="27"/>
        <v>51135.75</v>
      </c>
      <c r="W65" s="64">
        <f t="shared" si="27"/>
        <v>51501</v>
      </c>
      <c r="X65" s="64">
        <f t="shared" si="27"/>
        <v>51866.25</v>
      </c>
      <c r="AA65" s="106"/>
      <c r="AB65" s="67"/>
      <c r="AC65" s="172"/>
      <c r="AD65" s="107"/>
      <c r="AE65" s="107"/>
      <c r="AF65" s="107"/>
      <c r="AG65" s="107"/>
      <c r="AH65" s="107"/>
      <c r="AI65" s="107"/>
      <c r="AJ65" s="107"/>
      <c r="AK65" s="107"/>
      <c r="AL65" s="107"/>
      <c r="AM65" s="107"/>
      <c r="AN65" s="107"/>
      <c r="AO65" s="107"/>
      <c r="AP65" s="107"/>
      <c r="AQ65" s="107"/>
      <c r="AR65" s="107"/>
      <c r="AS65" s="107"/>
      <c r="AT65" s="107"/>
      <c r="AU65" s="107"/>
      <c r="AV65" s="107"/>
      <c r="AW65" s="107"/>
    </row>
    <row r="66" spans="1:49">
      <c r="B66" s="1" t="s">
        <v>16</v>
      </c>
      <c r="C66" s="65">
        <f>+C60*(1-tax)</f>
        <v>0</v>
      </c>
      <c r="D66" s="65">
        <f>+D60*(1-tax)</f>
        <v>-657240500</v>
      </c>
      <c r="E66" s="65">
        <f t="shared" ref="E66:K66" si="28">+E60*(1-tax)</f>
        <v>727471500</v>
      </c>
      <c r="F66" s="65">
        <f t="shared" si="28"/>
        <v>1813050000</v>
      </c>
      <c r="G66" s="65">
        <f t="shared" si="28"/>
        <v>2738440200</v>
      </c>
      <c r="H66" s="65">
        <f t="shared" si="28"/>
        <v>3764982000</v>
      </c>
      <c r="I66" s="65">
        <f t="shared" si="28"/>
        <v>4021119750</v>
      </c>
      <c r="J66" s="65">
        <f t="shared" si="28"/>
        <v>4272991500</v>
      </c>
      <c r="K66" s="65">
        <f t="shared" si="28"/>
        <v>4524863250</v>
      </c>
      <c r="L66" s="8"/>
      <c r="M66" s="8"/>
      <c r="N66" s="8"/>
      <c r="O66" s="8"/>
      <c r="P66" s="8"/>
      <c r="AA66" s="106"/>
      <c r="AB66" s="67"/>
      <c r="AC66" s="172"/>
      <c r="AD66" s="107"/>
      <c r="AE66" s="107"/>
      <c r="AF66" s="107"/>
      <c r="AG66" s="107"/>
      <c r="AH66" s="107"/>
      <c r="AI66" s="107"/>
      <c r="AJ66" s="107"/>
      <c r="AK66" s="107"/>
      <c r="AL66" s="107"/>
      <c r="AM66" s="107"/>
      <c r="AN66" s="107"/>
      <c r="AO66" s="107"/>
      <c r="AP66" s="107"/>
      <c r="AQ66" s="107"/>
      <c r="AR66" s="107"/>
      <c r="AS66" s="107"/>
      <c r="AT66" s="107"/>
      <c r="AU66" s="107"/>
      <c r="AV66" s="107"/>
      <c r="AW66" s="107"/>
    </row>
    <row r="67" spans="1:49">
      <c r="C67" s="65"/>
      <c r="D67" s="65"/>
      <c r="E67" s="65"/>
      <c r="F67" s="65"/>
      <c r="G67" s="65"/>
      <c r="H67" s="65"/>
      <c r="I67" s="65"/>
      <c r="J67" s="65"/>
      <c r="K67" s="65"/>
      <c r="L67" s="8"/>
      <c r="M67" s="8"/>
      <c r="N67" s="8"/>
      <c r="O67" s="8"/>
      <c r="P67" s="8"/>
      <c r="AA67" s="106"/>
      <c r="AB67" s="67"/>
      <c r="AC67" s="172"/>
      <c r="AD67" s="107"/>
      <c r="AE67" s="107"/>
      <c r="AF67" s="107"/>
      <c r="AG67" s="107"/>
      <c r="AH67" s="107"/>
      <c r="AI67" s="107"/>
      <c r="AJ67" s="107"/>
      <c r="AK67" s="107"/>
      <c r="AL67" s="107"/>
      <c r="AM67" s="107"/>
      <c r="AN67" s="107"/>
      <c r="AO67" s="107"/>
      <c r="AP67" s="107"/>
      <c r="AQ67" s="107"/>
      <c r="AR67" s="107"/>
      <c r="AS67" s="107"/>
      <c r="AT67" s="107"/>
      <c r="AU67" s="107"/>
      <c r="AV67" s="107"/>
      <c r="AW67" s="107"/>
    </row>
    <row r="68" spans="1:49">
      <c r="B68" s="1" t="s">
        <v>13</v>
      </c>
      <c r="C68" s="65">
        <f>C59</f>
        <v>0</v>
      </c>
      <c r="D68" s="65">
        <f t="shared" ref="D68:J68" si="29">D59</f>
        <v>350000000</v>
      </c>
      <c r="E68" s="65">
        <f t="shared" si="29"/>
        <v>525000000</v>
      </c>
      <c r="F68" s="65">
        <f t="shared" si="29"/>
        <v>540000000</v>
      </c>
      <c r="G68" s="65">
        <f t="shared" si="29"/>
        <v>555000000</v>
      </c>
      <c r="H68" s="65">
        <f t="shared" si="29"/>
        <v>570000000</v>
      </c>
      <c r="I68" s="65">
        <f t="shared" si="29"/>
        <v>585000000</v>
      </c>
      <c r="J68" s="65">
        <f t="shared" si="29"/>
        <v>600000000</v>
      </c>
      <c r="K68" s="65">
        <f>K59</f>
        <v>615000000</v>
      </c>
      <c r="L68" s="8"/>
      <c r="M68" s="8"/>
      <c r="N68" s="8"/>
      <c r="O68" s="8"/>
      <c r="P68" s="8"/>
      <c r="AB68" s="173"/>
      <c r="AC68" s="173"/>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c r="B69" s="12" t="s">
        <v>19</v>
      </c>
      <c r="C69" s="65">
        <v>0</v>
      </c>
      <c r="D69" s="65">
        <f>+-D62+C62</f>
        <v>0</v>
      </c>
      <c r="E69" s="65">
        <f t="shared" ref="E69:K69" si="30">+E62-D62</f>
        <v>1620000000</v>
      </c>
      <c r="F69" s="65">
        <f t="shared" si="30"/>
        <v>1201875000</v>
      </c>
      <c r="G69" s="65">
        <f t="shared" si="30"/>
        <v>65625000</v>
      </c>
      <c r="H69" s="65">
        <f t="shared" si="30"/>
        <v>192500000</v>
      </c>
      <c r="I69" s="65">
        <f t="shared" si="30"/>
        <v>-625625000</v>
      </c>
      <c r="J69" s="65">
        <f t="shared" si="30"/>
        <v>144375000</v>
      </c>
      <c r="K69" s="65">
        <f t="shared" si="30"/>
        <v>144375000</v>
      </c>
      <c r="L69" s="8"/>
      <c r="M69" s="8"/>
      <c r="N69" s="8"/>
      <c r="O69" s="8"/>
      <c r="P69" s="8"/>
      <c r="AB69" s="43"/>
      <c r="AC69" s="43"/>
    </row>
    <row r="70" spans="1:49">
      <c r="B70" s="1" t="s">
        <v>20</v>
      </c>
      <c r="C70" s="65">
        <f>+C13</f>
        <v>3000000000</v>
      </c>
      <c r="D70" s="65">
        <f t="shared" ref="D70:K70" si="31">+D13</f>
        <v>4000000000</v>
      </c>
      <c r="E70" s="65">
        <f>+E13</f>
        <v>3500000000</v>
      </c>
      <c r="F70" s="65">
        <f t="shared" si="31"/>
        <v>300000000</v>
      </c>
      <c r="G70" s="65">
        <f t="shared" si="31"/>
        <v>300000000</v>
      </c>
      <c r="H70" s="65">
        <f t="shared" si="31"/>
        <v>300000000</v>
      </c>
      <c r="I70" s="65">
        <f t="shared" si="31"/>
        <v>300000000</v>
      </c>
      <c r="J70" s="65">
        <f t="shared" si="31"/>
        <v>300000000</v>
      </c>
      <c r="K70" s="65">
        <f t="shared" si="31"/>
        <v>300000000</v>
      </c>
      <c r="L70" s="8"/>
      <c r="M70" s="8"/>
      <c r="N70" s="8"/>
      <c r="O70" s="8"/>
      <c r="P70" s="8"/>
      <c r="X70" s="100">
        <v>-3010000000</v>
      </c>
      <c r="AB70" s="43"/>
      <c r="AC70" s="43"/>
      <c r="AW70" s="100"/>
    </row>
    <row r="71" spans="1:49">
      <c r="C71" s="8"/>
      <c r="D71" s="8"/>
      <c r="E71" s="8"/>
      <c r="F71" s="8"/>
      <c r="G71" s="8"/>
      <c r="H71" s="8"/>
      <c r="I71" s="8"/>
      <c r="J71" s="8"/>
      <c r="K71" s="8"/>
      <c r="L71" s="8"/>
      <c r="M71" s="8"/>
      <c r="N71" s="8"/>
      <c r="O71" s="8"/>
      <c r="P71" s="8"/>
    </row>
    <row r="72" spans="1:49">
      <c r="B72" s="33" t="s">
        <v>21</v>
      </c>
      <c r="C72" s="71">
        <f>C66+C68-C69-C70</f>
        <v>-3000000000</v>
      </c>
      <c r="D72" s="71">
        <f t="shared" ref="D72:K72" si="32">D66+D68-D69-D70</f>
        <v>-4307240500</v>
      </c>
      <c r="E72" s="71">
        <f>E66+E68-E69-E70</f>
        <v>-3867528500</v>
      </c>
      <c r="F72" s="71">
        <f t="shared" si="32"/>
        <v>851175000</v>
      </c>
      <c r="G72" s="71">
        <f t="shared" si="32"/>
        <v>2927815200</v>
      </c>
      <c r="H72" s="71">
        <f t="shared" si="32"/>
        <v>3842482000</v>
      </c>
      <c r="I72" s="71">
        <f t="shared" si="32"/>
        <v>4931744750</v>
      </c>
      <c r="J72" s="71">
        <f t="shared" si="32"/>
        <v>4428616500</v>
      </c>
      <c r="K72" s="71">
        <f t="shared" si="32"/>
        <v>4695488250</v>
      </c>
      <c r="L72" s="71">
        <f>K72*(1+$C$43)</f>
        <v>4836352897.5</v>
      </c>
      <c r="M72" s="71">
        <f>L72*(1+$C$43)</f>
        <v>4981443484.4250002</v>
      </c>
      <c r="N72" s="71">
        <f t="shared" ref="N72:W72" si="33">M72*(1+$C$43)</f>
        <v>5130886788.9577503</v>
      </c>
      <c r="O72" s="71">
        <f t="shared" si="33"/>
        <v>5284813392.626483</v>
      </c>
      <c r="P72" s="71">
        <f t="shared" si="33"/>
        <v>5443357794.4052773</v>
      </c>
      <c r="Q72" s="71">
        <f t="shared" si="33"/>
        <v>5606658528.2374353</v>
      </c>
      <c r="R72" s="71">
        <f t="shared" si="33"/>
        <v>5774858284.0845585</v>
      </c>
      <c r="S72" s="71">
        <f t="shared" si="33"/>
        <v>5948104032.6070957</v>
      </c>
      <c r="T72" s="71">
        <f t="shared" si="33"/>
        <v>6126547153.585309</v>
      </c>
      <c r="U72" s="71">
        <f t="shared" si="33"/>
        <v>6310343568.1928682</v>
      </c>
      <c r="V72" s="71">
        <f t="shared" si="33"/>
        <v>6499653875.2386541</v>
      </c>
      <c r="W72" s="71">
        <f t="shared" si="33"/>
        <v>6694643491.4958143</v>
      </c>
      <c r="X72" s="71">
        <f>X66+X68-X69-X70</f>
        <v>3010000000</v>
      </c>
      <c r="Y72" s="139"/>
    </row>
    <row r="73" spans="1:49">
      <c r="C73" s="8"/>
      <c r="D73" s="8"/>
      <c r="E73" s="8"/>
      <c r="F73" s="8"/>
      <c r="G73" s="8"/>
      <c r="H73" s="8"/>
      <c r="I73" s="8"/>
      <c r="J73" s="8"/>
      <c r="K73" s="8"/>
      <c r="L73" s="8"/>
      <c r="M73" s="8"/>
      <c r="N73" s="8"/>
      <c r="O73" s="8"/>
      <c r="P73" s="8"/>
    </row>
    <row r="74" spans="1:49">
      <c r="B74" s="31" t="s">
        <v>26</v>
      </c>
      <c r="C74" s="65">
        <f>+C72</f>
        <v>-3000000000</v>
      </c>
      <c r="D74" s="65">
        <f>+D72+C74</f>
        <v>-7307240500</v>
      </c>
      <c r="E74" s="65">
        <f t="shared" ref="E74:O74" si="34">+E72+D74</f>
        <v>-11174769000</v>
      </c>
      <c r="F74" s="65">
        <f t="shared" si="34"/>
        <v>-10323594000</v>
      </c>
      <c r="G74" s="65">
        <f t="shared" si="34"/>
        <v>-7395778800</v>
      </c>
      <c r="H74" s="65">
        <f t="shared" si="34"/>
        <v>-3553296800</v>
      </c>
      <c r="I74" s="65">
        <f t="shared" si="34"/>
        <v>1378447950</v>
      </c>
      <c r="J74" s="65">
        <f t="shared" si="34"/>
        <v>5807064450</v>
      </c>
      <c r="K74" s="65">
        <f t="shared" si="34"/>
        <v>10502552700</v>
      </c>
      <c r="L74" s="65">
        <f>+L72+K74</f>
        <v>15338905597.5</v>
      </c>
      <c r="M74" s="65">
        <f t="shared" si="34"/>
        <v>20320349081.924999</v>
      </c>
      <c r="N74" s="65">
        <f t="shared" si="34"/>
        <v>25451235870.882751</v>
      </c>
      <c r="O74" s="65">
        <f t="shared" si="34"/>
        <v>30736049263.509235</v>
      </c>
      <c r="P74" s="65">
        <f>+P72+O74</f>
        <v>36179407057.914513</v>
      </c>
      <c r="Q74" s="65">
        <f t="shared" ref="Q74:X74" si="35">+Q72+P74</f>
        <v>41786065586.151947</v>
      </c>
      <c r="R74" s="65">
        <f t="shared" si="35"/>
        <v>47560923870.236504</v>
      </c>
      <c r="S74" s="65">
        <f t="shared" si="35"/>
        <v>53509027902.843597</v>
      </c>
      <c r="T74" s="65">
        <f t="shared" si="35"/>
        <v>59635575056.428909</v>
      </c>
      <c r="U74" s="65">
        <f t="shared" si="35"/>
        <v>65945918624.62178</v>
      </c>
      <c r="V74" s="65">
        <f t="shared" si="35"/>
        <v>72445572499.860428</v>
      </c>
      <c r="W74" s="65">
        <f t="shared" si="35"/>
        <v>79140215991.356247</v>
      </c>
      <c r="X74" s="65">
        <f t="shared" si="35"/>
        <v>82150215991.356247</v>
      </c>
    </row>
    <row r="75" spans="1:49" ht="15.75">
      <c r="B75" s="32"/>
      <c r="C75" s="65"/>
      <c r="D75" s="65"/>
      <c r="E75" s="65"/>
      <c r="F75" s="65"/>
      <c r="G75" s="65"/>
      <c r="H75" s="65"/>
      <c r="I75" s="65"/>
      <c r="J75" s="65"/>
      <c r="K75" s="65"/>
      <c r="L75" s="65"/>
      <c r="M75" s="65"/>
      <c r="N75" s="65"/>
      <c r="O75" s="65"/>
      <c r="P75" s="65"/>
    </row>
    <row r="76" spans="1:49">
      <c r="B76" s="31" t="s">
        <v>25</v>
      </c>
      <c r="C76" s="65">
        <f>+C72/((1+wacc)^C64)</f>
        <v>-3000000000</v>
      </c>
      <c r="D76" s="65">
        <f>+D72/((1+wacc)^D64)</f>
        <v>-3831382761.0745416</v>
      </c>
      <c r="E76" s="65">
        <f>+E72/((1+wacc)^E64)</f>
        <v>-3060175690.0580044</v>
      </c>
      <c r="F76" s="65">
        <f t="shared" ref="F76:O76" si="36">+F72/((1+wacc)^F64)</f>
        <v>599084545.82047379</v>
      </c>
      <c r="G76" s="65">
        <f t="shared" si="36"/>
        <v>1833029005.9005306</v>
      </c>
      <c r="H76" s="65">
        <f t="shared" si="36"/>
        <v>2139902257.7460418</v>
      </c>
      <c r="I76" s="65">
        <f t="shared" si="36"/>
        <v>2443087969.9090838</v>
      </c>
      <c r="J76" s="65">
        <f t="shared" si="36"/>
        <v>1951475067.9084568</v>
      </c>
      <c r="K76" s="65">
        <f t="shared" si="36"/>
        <v>1840484271.7796962</v>
      </c>
      <c r="L76" s="65">
        <f>+L72/((1+wacc)^L64)</f>
        <v>1686264721.5202696</v>
      </c>
      <c r="M76" s="65">
        <f t="shared" si="36"/>
        <v>1544967677.6070783</v>
      </c>
      <c r="N76" s="65">
        <f t="shared" si="36"/>
        <v>1415510325.5072858</v>
      </c>
      <c r="O76" s="65">
        <f t="shared" si="36"/>
        <v>1296900582.8789396</v>
      </c>
      <c r="P76" s="65">
        <f t="shared" ref="P76:W76" si="37">+P72/((1+wacc)^P64)</f>
        <v>1188229496.8558154</v>
      </c>
      <c r="Q76" s="65">
        <f t="shared" si="37"/>
        <v>1088664278.3859541</v>
      </c>
      <c r="R76" s="65">
        <f t="shared" si="37"/>
        <v>997441920.24331331</v>
      </c>
      <c r="S76" s="65">
        <f t="shared" si="37"/>
        <v>913863349.8048501</v>
      </c>
      <c r="T76" s="65">
        <f t="shared" si="37"/>
        <v>837288071.78348649</v>
      </c>
      <c r="U76" s="65">
        <f t="shared" si="37"/>
        <v>767129259.8621161</v>
      </c>
      <c r="V76" s="65">
        <f t="shared" si="37"/>
        <v>702849259.61392963</v>
      </c>
      <c r="W76" s="65">
        <f t="shared" si="37"/>
        <v>643955468.24617279</v>
      </c>
      <c r="X76" s="65">
        <f t="shared" ref="X76" si="38">+X72/((1+wacc)^X64)</f>
        <v>257543916.3361741</v>
      </c>
    </row>
    <row r="77" spans="1:49">
      <c r="B77" s="31" t="s">
        <v>27</v>
      </c>
      <c r="C77" s="65">
        <f>+C76</f>
        <v>-3000000000</v>
      </c>
      <c r="D77" s="65">
        <f>+D76+C77</f>
        <v>-6831382761.0745411</v>
      </c>
      <c r="E77" s="65">
        <f>+E76+D77</f>
        <v>-9891558451.1325455</v>
      </c>
      <c r="F77" s="65">
        <f>+F76+E77</f>
        <v>-9292473905.3120708</v>
      </c>
      <c r="G77" s="65">
        <f>+G76+F77</f>
        <v>-7459444899.41154</v>
      </c>
      <c r="H77" s="65">
        <f>+H76+G77</f>
        <v>-5319542641.6654987</v>
      </c>
      <c r="I77" s="65">
        <f t="shared" ref="I77:O77" si="39">+I76+H77</f>
        <v>-2876454671.7564149</v>
      </c>
      <c r="J77" s="65">
        <f t="shared" si="39"/>
        <v>-924979603.84795809</v>
      </c>
      <c r="K77" s="65">
        <f t="shared" si="39"/>
        <v>915504667.93173814</v>
      </c>
      <c r="L77" s="65">
        <f t="shared" si="39"/>
        <v>2601769389.4520078</v>
      </c>
      <c r="M77" s="65">
        <f t="shared" si="39"/>
        <v>4146737067.0590858</v>
      </c>
      <c r="N77" s="65">
        <f t="shared" si="39"/>
        <v>5562247392.5663719</v>
      </c>
      <c r="O77" s="65">
        <f t="shared" si="39"/>
        <v>6859147975.4453115</v>
      </c>
      <c r="P77" s="65">
        <f>+P76+O77</f>
        <v>8047377472.3011265</v>
      </c>
      <c r="Q77" s="65">
        <f t="shared" ref="Q77:X77" si="40">+Q76+P77</f>
        <v>9136041750.6870804</v>
      </c>
      <c r="R77" s="65">
        <f t="shared" si="40"/>
        <v>10133483670.930393</v>
      </c>
      <c r="S77" s="65">
        <f t="shared" si="40"/>
        <v>11047347020.735243</v>
      </c>
      <c r="T77" s="65">
        <f t="shared" si="40"/>
        <v>11884635092.51873</v>
      </c>
      <c r="U77" s="65">
        <f t="shared" si="40"/>
        <v>12651764352.380846</v>
      </c>
      <c r="V77" s="65">
        <f t="shared" si="40"/>
        <v>13354613611.994776</v>
      </c>
      <c r="W77" s="65">
        <f t="shared" si="40"/>
        <v>13998569080.240948</v>
      </c>
      <c r="X77" s="65">
        <f t="shared" si="40"/>
        <v>14256112996.577122</v>
      </c>
    </row>
    <row r="78" spans="1:49">
      <c r="C78" s="8"/>
      <c r="D78" s="1"/>
      <c r="E78" s="8"/>
      <c r="F78" s="8"/>
      <c r="G78" s="8"/>
      <c r="H78" s="8"/>
      <c r="I78" s="8"/>
      <c r="J78" s="8"/>
      <c r="K78" s="8"/>
      <c r="L78" s="8"/>
      <c r="M78" s="8"/>
      <c r="N78" s="8"/>
      <c r="O78" s="8"/>
      <c r="P78" s="8"/>
    </row>
    <row r="79" spans="1:49">
      <c r="A79" s="56" t="s">
        <v>41</v>
      </c>
      <c r="B79" s="33" t="s">
        <v>65</v>
      </c>
      <c r="C79" s="72">
        <f>+NPV(wacc,D72:X72)+C72</f>
        <v>14256112996.577133</v>
      </c>
      <c r="D79" s="34"/>
      <c r="E79" s="103"/>
      <c r="F79" s="8"/>
      <c r="G79" s="103"/>
      <c r="H79" s="8"/>
      <c r="I79" s="8"/>
      <c r="J79" s="8"/>
      <c r="K79" s="8"/>
      <c r="L79" s="8"/>
      <c r="M79" s="8"/>
      <c r="N79" s="8"/>
      <c r="O79" s="8"/>
      <c r="P79" s="8"/>
    </row>
    <row r="80" spans="1:49">
      <c r="C80" s="8"/>
      <c r="D80" s="8"/>
      <c r="E80" s="8"/>
      <c r="F80" s="8"/>
      <c r="G80" s="8"/>
      <c r="H80" s="8"/>
      <c r="I80" s="8"/>
      <c r="J80" s="8"/>
      <c r="K80" s="8"/>
      <c r="L80" s="8"/>
      <c r="M80" s="8"/>
      <c r="N80" s="8"/>
      <c r="O80" s="8"/>
      <c r="P80" s="8"/>
    </row>
    <row r="81" spans="2:49">
      <c r="B81" s="94" t="s">
        <v>63</v>
      </c>
      <c r="C81" s="30"/>
      <c r="D81" s="30"/>
      <c r="E81" s="30"/>
      <c r="F81" s="30"/>
      <c r="G81" s="30"/>
      <c r="H81" s="30"/>
      <c r="I81" s="30"/>
      <c r="J81" s="30"/>
      <c r="K81" s="30"/>
      <c r="L81" s="30"/>
      <c r="M81" s="30"/>
      <c r="N81" s="30"/>
      <c r="O81" s="30"/>
      <c r="P81" s="30"/>
    </row>
    <row r="82" spans="2:49">
      <c r="B82" s="15"/>
      <c r="C82" s="64">
        <f t="shared" ref="C82:K82" si="41">C46</f>
        <v>44197</v>
      </c>
      <c r="D82" s="64">
        <f t="shared" si="41"/>
        <v>44561</v>
      </c>
      <c r="E82" s="64">
        <f t="shared" si="41"/>
        <v>44926</v>
      </c>
      <c r="F82" s="64">
        <f t="shared" si="41"/>
        <v>45291</v>
      </c>
      <c r="G82" s="64">
        <f t="shared" si="41"/>
        <v>45657</v>
      </c>
      <c r="H82" s="64">
        <f t="shared" si="41"/>
        <v>46022</v>
      </c>
      <c r="I82" s="64">
        <f t="shared" si="41"/>
        <v>46387</v>
      </c>
      <c r="J82" s="64">
        <f t="shared" si="41"/>
        <v>46752</v>
      </c>
      <c r="K82" s="64">
        <f t="shared" si="41"/>
        <v>47118</v>
      </c>
      <c r="L82" s="73"/>
      <c r="M82" s="73"/>
      <c r="N82" s="73"/>
      <c r="O82" s="73"/>
      <c r="P82" s="73"/>
    </row>
    <row r="83" spans="2:49">
      <c r="B83" s="15" t="s">
        <v>11</v>
      </c>
      <c r="C83" s="64"/>
      <c r="D83" s="64"/>
      <c r="E83" s="64"/>
      <c r="F83" s="146">
        <f t="shared" ref="F83:K83" si="42">((F9*F20)+(F10*F21)+(F11*F22))*F34</f>
        <v>8760000000</v>
      </c>
      <c r="G83" s="146">
        <f t="shared" si="42"/>
        <v>18000000000</v>
      </c>
      <c r="H83" s="146">
        <f t="shared" si="42"/>
        <v>25090000000</v>
      </c>
      <c r="I83" s="146">
        <f t="shared" si="42"/>
        <v>30880000000</v>
      </c>
      <c r="J83" s="146">
        <f t="shared" si="42"/>
        <v>36670000000</v>
      </c>
      <c r="K83" s="146">
        <f t="shared" si="42"/>
        <v>36670000000</v>
      </c>
      <c r="L83" s="73"/>
      <c r="M83" s="73"/>
      <c r="N83" s="73"/>
      <c r="O83" s="73"/>
      <c r="P83" s="73"/>
    </row>
    <row r="84" spans="2:49">
      <c r="B84" s="15"/>
      <c r="C84" s="64"/>
      <c r="D84" s="64"/>
      <c r="E84" s="64"/>
      <c r="F84" s="180">
        <v>0</v>
      </c>
      <c r="G84" s="181">
        <f>$F$84</f>
        <v>0</v>
      </c>
      <c r="H84" s="181">
        <f t="shared" ref="H84:K84" si="43">$F$84</f>
        <v>0</v>
      </c>
      <c r="I84" s="181">
        <f t="shared" si="43"/>
        <v>0</v>
      </c>
      <c r="J84" s="181">
        <f t="shared" si="43"/>
        <v>0</v>
      </c>
      <c r="K84" s="181">
        <f t="shared" si="43"/>
        <v>0</v>
      </c>
      <c r="L84" s="73"/>
      <c r="M84" s="73"/>
      <c r="N84" s="73"/>
      <c r="O84" s="73"/>
      <c r="P84" s="73"/>
    </row>
    <row r="85" spans="2:49">
      <c r="B85" s="1" t="s">
        <v>85</v>
      </c>
      <c r="C85" s="8"/>
      <c r="D85" s="8"/>
      <c r="E85" s="8"/>
      <c r="F85" s="65">
        <f>F83*(1+F84)</f>
        <v>8760000000</v>
      </c>
      <c r="G85" s="65">
        <f t="shared" ref="G85:K85" si="44">G83*(1+G84)</f>
        <v>18000000000</v>
      </c>
      <c r="H85" s="65">
        <f t="shared" si="44"/>
        <v>25090000000</v>
      </c>
      <c r="I85" s="65">
        <f t="shared" si="44"/>
        <v>30880000000</v>
      </c>
      <c r="J85" s="65">
        <f t="shared" si="44"/>
        <v>36670000000</v>
      </c>
      <c r="K85" s="65">
        <f t="shared" si="44"/>
        <v>36670000000</v>
      </c>
      <c r="L85" s="8"/>
      <c r="M85" s="8"/>
      <c r="N85" s="8"/>
      <c r="O85" s="8"/>
      <c r="P85" s="8"/>
    </row>
    <row r="86" spans="2:49">
      <c r="B86" s="15" t="s">
        <v>12</v>
      </c>
      <c r="C86" s="64"/>
      <c r="D86" s="64"/>
      <c r="E86" s="64"/>
      <c r="F86" s="146">
        <f t="shared" ref="F86:K86" si="45">((F9*F20*F29)+(F10*F21*F30)+(F11*F22*F31))*F34</f>
        <v>3883680000</v>
      </c>
      <c r="G86" s="146">
        <f t="shared" si="45"/>
        <v>8159000000</v>
      </c>
      <c r="H86" s="146">
        <f t="shared" si="45"/>
        <v>11391900000</v>
      </c>
      <c r="I86" s="146">
        <f t="shared" si="45"/>
        <v>14004800000</v>
      </c>
      <c r="J86" s="146">
        <f t="shared" si="45"/>
        <v>16630700000</v>
      </c>
      <c r="K86" s="146">
        <f t="shared" si="45"/>
        <v>16630700000</v>
      </c>
      <c r="L86" s="73"/>
      <c r="M86" s="73"/>
      <c r="N86" s="73"/>
      <c r="O86" s="73"/>
      <c r="P86" s="73"/>
    </row>
    <row r="87" spans="2:49">
      <c r="B87" s="15"/>
      <c r="C87" s="64"/>
      <c r="D87" s="64"/>
      <c r="E87" s="64"/>
      <c r="F87" s="180">
        <v>0</v>
      </c>
      <c r="G87" s="181">
        <f>$F$87</f>
        <v>0</v>
      </c>
      <c r="H87" s="181">
        <f t="shared" ref="H87:K87" si="46">$F$87</f>
        <v>0</v>
      </c>
      <c r="I87" s="181">
        <f t="shared" si="46"/>
        <v>0</v>
      </c>
      <c r="J87" s="181">
        <f t="shared" si="46"/>
        <v>0</v>
      </c>
      <c r="K87" s="181">
        <f t="shared" si="46"/>
        <v>0</v>
      </c>
      <c r="L87" s="73"/>
      <c r="M87" s="73"/>
      <c r="N87" s="73"/>
      <c r="O87" s="73"/>
      <c r="P87" s="73"/>
      <c r="Z87" s="174"/>
      <c r="AA87" s="174"/>
      <c r="AB87" s="174"/>
      <c r="AC87" s="174"/>
    </row>
    <row r="88" spans="2:49">
      <c r="B88" s="1" t="s">
        <v>134</v>
      </c>
      <c r="C88" s="8"/>
      <c r="D88" s="8"/>
      <c r="E88" s="8"/>
      <c r="F88" s="65">
        <f>F86*(1+F87)</f>
        <v>3883680000</v>
      </c>
      <c r="G88" s="65">
        <f>G86*(1+G87)</f>
        <v>8159000000</v>
      </c>
      <c r="H88" s="65">
        <f t="shared" ref="H88:K88" si="47">H86*(1+H87)</f>
        <v>11391900000</v>
      </c>
      <c r="I88" s="65">
        <f t="shared" si="47"/>
        <v>14004800000</v>
      </c>
      <c r="J88" s="65">
        <f t="shared" si="47"/>
        <v>16630700000</v>
      </c>
      <c r="K88" s="65">
        <f t="shared" si="47"/>
        <v>16630700000</v>
      </c>
      <c r="L88" s="8"/>
      <c r="M88" s="8"/>
      <c r="N88" s="8"/>
      <c r="O88" s="8"/>
      <c r="P88" s="8"/>
      <c r="Z88" s="174"/>
      <c r="AA88" s="174"/>
      <c r="AB88" s="174"/>
      <c r="AC88" s="174"/>
    </row>
    <row r="89" spans="2:49">
      <c r="B89" s="1" t="s">
        <v>0</v>
      </c>
      <c r="C89" s="8"/>
      <c r="D89" s="8"/>
      <c r="E89" s="8"/>
      <c r="F89" s="65">
        <f>F85-F88</f>
        <v>4876320000</v>
      </c>
      <c r="G89" s="65">
        <f t="shared" ref="G89:K89" si="48">G85-G88</f>
        <v>9841000000</v>
      </c>
      <c r="H89" s="65">
        <f t="shared" si="48"/>
        <v>13698100000</v>
      </c>
      <c r="I89" s="65">
        <f t="shared" si="48"/>
        <v>16875200000</v>
      </c>
      <c r="J89" s="65">
        <f t="shared" si="48"/>
        <v>20039300000</v>
      </c>
      <c r="K89" s="65">
        <f t="shared" si="48"/>
        <v>20039300000</v>
      </c>
      <c r="L89" s="8"/>
      <c r="M89" s="8"/>
      <c r="N89" s="8"/>
      <c r="O89" s="8"/>
      <c r="P89" s="8"/>
      <c r="Z89" s="208"/>
      <c r="AA89" s="208"/>
      <c r="AB89" s="208"/>
      <c r="AC89" s="175"/>
    </row>
    <row r="90" spans="2:49">
      <c r="B90" s="69" t="s">
        <v>58</v>
      </c>
      <c r="C90" s="7"/>
      <c r="D90" s="7"/>
      <c r="E90" s="7"/>
      <c r="F90" s="74">
        <f>+F89/F85</f>
        <v>0.55665753424657538</v>
      </c>
      <c r="G90" s="74">
        <f t="shared" ref="G90:K90" si="49">+G89/G85</f>
        <v>0.54672222222222222</v>
      </c>
      <c r="H90" s="74">
        <f t="shared" si="49"/>
        <v>0.54595854922279796</v>
      </c>
      <c r="I90" s="74">
        <f t="shared" si="49"/>
        <v>0.54647668393782378</v>
      </c>
      <c r="J90" s="74">
        <f t="shared" si="49"/>
        <v>0.54647668393782378</v>
      </c>
      <c r="K90" s="74">
        <f t="shared" si="49"/>
        <v>0.54647668393782378</v>
      </c>
      <c r="L90" s="7"/>
      <c r="M90" s="7"/>
      <c r="N90" s="7"/>
      <c r="O90" s="7"/>
      <c r="P90" s="7"/>
      <c r="Z90" s="209"/>
      <c r="AA90" s="209"/>
      <c r="AB90" s="209"/>
      <c r="AC90" s="176"/>
      <c r="AD90" s="106"/>
      <c r="AE90" s="106"/>
      <c r="AF90" s="106"/>
      <c r="AG90" s="106"/>
      <c r="AH90" s="106"/>
      <c r="AI90" s="106"/>
      <c r="AJ90" s="106"/>
      <c r="AK90" s="106"/>
      <c r="AL90" s="106"/>
      <c r="AM90" s="106"/>
      <c r="AN90" s="106"/>
      <c r="AO90" s="106"/>
      <c r="AP90" s="106"/>
      <c r="AQ90" s="106"/>
      <c r="AR90" s="106"/>
      <c r="AS90" s="106"/>
      <c r="AT90" s="106"/>
      <c r="AU90" s="106"/>
      <c r="AV90" s="106"/>
    </row>
    <row r="91" spans="2:49">
      <c r="C91" s="8"/>
      <c r="D91" s="8"/>
      <c r="E91" s="8"/>
      <c r="F91" s="8"/>
      <c r="G91" s="8"/>
      <c r="H91" s="8"/>
      <c r="I91" s="8"/>
      <c r="J91" s="8"/>
      <c r="K91" s="8"/>
      <c r="L91" s="8"/>
      <c r="M91" s="8"/>
      <c r="N91" s="8"/>
      <c r="O91" s="8"/>
      <c r="P91" s="8"/>
      <c r="Z91" s="174"/>
      <c r="AA91" s="176"/>
      <c r="AB91" s="177"/>
      <c r="AC91" s="178"/>
      <c r="AD91" s="107"/>
      <c r="AE91" s="107"/>
      <c r="AF91" s="107"/>
      <c r="AG91" s="107"/>
      <c r="AH91" s="107"/>
      <c r="AI91" s="107"/>
      <c r="AJ91" s="107"/>
      <c r="AK91" s="107"/>
      <c r="AL91" s="107"/>
      <c r="AM91" s="107"/>
      <c r="AN91" s="107"/>
      <c r="AO91" s="107"/>
      <c r="AP91" s="107"/>
      <c r="AQ91" s="107"/>
      <c r="AR91" s="107"/>
      <c r="AS91" s="107"/>
      <c r="AT91" s="107"/>
      <c r="AU91" s="107"/>
      <c r="AV91" s="107"/>
      <c r="AW91" s="107"/>
    </row>
    <row r="92" spans="2:49">
      <c r="B92" s="1" t="s">
        <v>10</v>
      </c>
      <c r="C92" s="65">
        <f t="shared" ref="C92:K92" si="50">+-C38</f>
        <v>0</v>
      </c>
      <c r="D92" s="65">
        <f t="shared" si="50"/>
        <v>-457852500</v>
      </c>
      <c r="E92" s="65">
        <f t="shared" si="50"/>
        <v>-915705000</v>
      </c>
      <c r="F92" s="65">
        <f t="shared" si="50"/>
        <v>-1795500000</v>
      </c>
      <c r="G92" s="65">
        <f t="shared" si="50"/>
        <v>-2546874000</v>
      </c>
      <c r="H92" s="65">
        <f t="shared" si="50"/>
        <v>-3379340000</v>
      </c>
      <c r="I92" s="65">
        <f t="shared" si="50"/>
        <v>-3594182500</v>
      </c>
      <c r="J92" s="65">
        <f t="shared" si="50"/>
        <v>-3805605000</v>
      </c>
      <c r="K92" s="65">
        <f t="shared" si="50"/>
        <v>-4017027500</v>
      </c>
      <c r="L92" s="8"/>
      <c r="M92" s="8"/>
      <c r="N92" s="8"/>
      <c r="O92" s="8"/>
      <c r="P92" s="8"/>
      <c r="Z92" s="174"/>
      <c r="AA92" s="176"/>
      <c r="AB92" s="177"/>
      <c r="AC92" s="178"/>
      <c r="AD92" s="107"/>
      <c r="AE92" s="107"/>
      <c r="AF92" s="107"/>
      <c r="AG92" s="107"/>
      <c r="AH92" s="107"/>
      <c r="AI92" s="107"/>
      <c r="AJ92" s="107"/>
      <c r="AK92" s="107"/>
      <c r="AL92" s="107"/>
      <c r="AM92" s="107"/>
      <c r="AN92" s="107"/>
      <c r="AO92" s="107"/>
      <c r="AP92" s="107"/>
      <c r="AQ92" s="107"/>
      <c r="AR92" s="107"/>
      <c r="AS92" s="107"/>
      <c r="AT92" s="107"/>
      <c r="AU92" s="107"/>
      <c r="AV92" s="107"/>
      <c r="AW92" s="107"/>
    </row>
    <row r="93" spans="2:49">
      <c r="B93" s="1" t="s">
        <v>1</v>
      </c>
      <c r="C93" s="65">
        <f>+C89+C92</f>
        <v>0</v>
      </c>
      <c r="D93" s="65">
        <f t="shared" ref="D93:E93" si="51">+D89+D92</f>
        <v>-457852500</v>
      </c>
      <c r="E93" s="65">
        <f t="shared" si="51"/>
        <v>-915705000</v>
      </c>
      <c r="F93" s="65">
        <f>+F89+F92</f>
        <v>3080820000</v>
      </c>
      <c r="G93" s="65">
        <f t="shared" ref="G93:K93" si="52">+G89+G92</f>
        <v>7294126000</v>
      </c>
      <c r="H93" s="65">
        <f t="shared" si="52"/>
        <v>10318760000</v>
      </c>
      <c r="I93" s="65">
        <f t="shared" si="52"/>
        <v>13281017500</v>
      </c>
      <c r="J93" s="65">
        <f t="shared" si="52"/>
        <v>16233695000</v>
      </c>
      <c r="K93" s="65">
        <f t="shared" si="52"/>
        <v>16022272500</v>
      </c>
      <c r="L93" s="8"/>
      <c r="M93" s="8"/>
      <c r="N93" s="8"/>
      <c r="O93" s="8"/>
      <c r="P93" s="8"/>
      <c r="Z93" s="174"/>
      <c r="AA93" s="176"/>
      <c r="AB93" s="177"/>
      <c r="AC93" s="178"/>
      <c r="AD93" s="107"/>
      <c r="AE93" s="107"/>
      <c r="AF93" s="107"/>
      <c r="AG93" s="107"/>
      <c r="AH93" s="107"/>
      <c r="AI93" s="107"/>
      <c r="AJ93" s="107"/>
      <c r="AK93" s="107"/>
      <c r="AL93" s="107"/>
      <c r="AM93" s="107"/>
      <c r="AN93" s="107"/>
      <c r="AO93" s="107"/>
      <c r="AP93" s="107"/>
      <c r="AQ93" s="107"/>
      <c r="AR93" s="107"/>
      <c r="AS93" s="107"/>
      <c r="AT93" s="107"/>
      <c r="AU93" s="107"/>
      <c r="AV93" s="107"/>
      <c r="AW93" s="107"/>
    </row>
    <row r="94" spans="2:49">
      <c r="C94" s="11"/>
      <c r="D94" s="11"/>
      <c r="E94" s="11"/>
      <c r="F94" s="11">
        <f t="shared" ref="F94:K94" si="53">+F93/F85</f>
        <v>0.35169178082191782</v>
      </c>
      <c r="G94" s="11">
        <f t="shared" si="53"/>
        <v>0.40522922222222224</v>
      </c>
      <c r="H94" s="11">
        <f t="shared" si="53"/>
        <v>0.41126982861697886</v>
      </c>
      <c r="I94" s="11">
        <f t="shared" si="53"/>
        <v>0.43008476360103626</v>
      </c>
      <c r="J94" s="11">
        <f t="shared" si="53"/>
        <v>0.44269689119170985</v>
      </c>
      <c r="K94" s="11">
        <f t="shared" si="53"/>
        <v>0.43693134715025905</v>
      </c>
      <c r="L94" s="11"/>
      <c r="M94" s="11"/>
      <c r="N94" s="11"/>
      <c r="O94" s="11"/>
      <c r="P94" s="11"/>
      <c r="Z94" s="174"/>
      <c r="AA94" s="176"/>
      <c r="AB94" s="177"/>
      <c r="AC94" s="178"/>
      <c r="AD94" s="107"/>
      <c r="AE94" s="107"/>
      <c r="AF94" s="107"/>
      <c r="AG94" s="107"/>
      <c r="AH94" s="107"/>
      <c r="AI94" s="107"/>
      <c r="AJ94" s="107"/>
      <c r="AK94" s="107"/>
      <c r="AL94" s="107"/>
      <c r="AM94" s="107"/>
      <c r="AN94" s="107"/>
      <c r="AO94" s="107"/>
      <c r="AP94" s="107"/>
      <c r="AQ94" s="107"/>
      <c r="AR94" s="107"/>
      <c r="AS94" s="107"/>
      <c r="AT94" s="107"/>
      <c r="AU94" s="107"/>
      <c r="AV94" s="107"/>
      <c r="AW94" s="107"/>
    </row>
    <row r="95" spans="2:49">
      <c r="B95" s="1" t="s">
        <v>13</v>
      </c>
      <c r="C95" s="65">
        <v>0</v>
      </c>
      <c r="D95" s="65">
        <f>+SUM($C14:D14)/20</f>
        <v>600000000</v>
      </c>
      <c r="E95" s="65">
        <f>+SUM($C14:E14)/20</f>
        <v>900000000</v>
      </c>
      <c r="F95" s="65">
        <f>+SUM($C14:F14)/20</f>
        <v>910000000</v>
      </c>
      <c r="G95" s="65">
        <f>+SUM($C14:G14)/20</f>
        <v>920000000</v>
      </c>
      <c r="H95" s="65">
        <f>+SUM($C14:H14)/20</f>
        <v>930000000</v>
      </c>
      <c r="I95" s="65">
        <f>+SUM($C14:I14)/20</f>
        <v>940000000</v>
      </c>
      <c r="J95" s="65">
        <f>+SUM($C14:J14)/20</f>
        <v>950000000</v>
      </c>
      <c r="K95" s="65">
        <f>+SUM($C14:K14)/20</f>
        <v>960000000</v>
      </c>
      <c r="L95" s="8"/>
      <c r="M95" s="8"/>
      <c r="N95" s="8"/>
      <c r="O95" s="8"/>
      <c r="P95" s="8"/>
      <c r="Z95" s="174"/>
      <c r="AA95" s="176"/>
      <c r="AB95" s="177"/>
      <c r="AC95" s="178"/>
      <c r="AD95" s="107"/>
      <c r="AE95" s="107"/>
      <c r="AF95" s="107"/>
      <c r="AG95" s="107"/>
      <c r="AH95" s="107"/>
      <c r="AI95" s="107"/>
      <c r="AJ95" s="107"/>
      <c r="AK95" s="107"/>
      <c r="AL95" s="107"/>
      <c r="AM95" s="107"/>
      <c r="AN95" s="107"/>
      <c r="AO95" s="107"/>
      <c r="AP95" s="107"/>
      <c r="AQ95" s="107"/>
      <c r="AR95" s="107"/>
      <c r="AS95" s="107"/>
      <c r="AT95" s="107"/>
      <c r="AU95" s="107"/>
      <c r="AV95" s="107"/>
      <c r="AW95" s="107"/>
    </row>
    <row r="96" spans="2:49">
      <c r="B96" s="1" t="s">
        <v>2</v>
      </c>
      <c r="C96" s="66">
        <f>C93-C95</f>
        <v>0</v>
      </c>
      <c r="D96" s="66">
        <f t="shared" ref="D96:K96" si="54">D93-D95</f>
        <v>-1057852500</v>
      </c>
      <c r="E96" s="66">
        <f t="shared" si="54"/>
        <v>-1815705000</v>
      </c>
      <c r="F96" s="66">
        <f t="shared" si="54"/>
        <v>2170820000</v>
      </c>
      <c r="G96" s="66">
        <f t="shared" si="54"/>
        <v>6374126000</v>
      </c>
      <c r="H96" s="66">
        <f t="shared" si="54"/>
        <v>9388760000</v>
      </c>
      <c r="I96" s="66">
        <f t="shared" si="54"/>
        <v>12341017500</v>
      </c>
      <c r="J96" s="66">
        <f t="shared" si="54"/>
        <v>15283695000</v>
      </c>
      <c r="K96" s="66">
        <f t="shared" si="54"/>
        <v>15062272500</v>
      </c>
      <c r="L96" s="9"/>
      <c r="M96" s="9"/>
      <c r="N96" s="9"/>
      <c r="O96" s="9"/>
      <c r="P96" s="9"/>
      <c r="Z96" s="174"/>
      <c r="AA96" s="176"/>
      <c r="AB96" s="177"/>
      <c r="AC96" s="178"/>
      <c r="AD96" s="107"/>
      <c r="AE96" s="107"/>
      <c r="AF96" s="107"/>
      <c r="AG96" s="107"/>
      <c r="AH96" s="107"/>
      <c r="AI96" s="107"/>
      <c r="AJ96" s="107"/>
      <c r="AK96" s="107"/>
      <c r="AL96" s="107"/>
      <c r="AM96" s="107"/>
      <c r="AN96" s="107"/>
      <c r="AO96" s="107"/>
      <c r="AP96" s="107"/>
      <c r="AQ96" s="107"/>
      <c r="AR96" s="107"/>
      <c r="AS96" s="107"/>
      <c r="AT96" s="107"/>
      <c r="AU96" s="107"/>
      <c r="AV96" s="107"/>
      <c r="AW96" s="107"/>
    </row>
    <row r="97" spans="2:49">
      <c r="C97" s="8"/>
      <c r="D97" s="8"/>
      <c r="E97" s="8"/>
      <c r="F97" s="8"/>
      <c r="G97" s="8"/>
      <c r="H97" s="8"/>
      <c r="I97" s="8"/>
      <c r="J97" s="8"/>
      <c r="K97" s="8"/>
      <c r="L97" s="8"/>
      <c r="M97" s="8"/>
      <c r="N97" s="8"/>
      <c r="O97" s="8"/>
      <c r="P97" s="8"/>
      <c r="Z97" s="174"/>
      <c r="AA97" s="176"/>
      <c r="AB97" s="177"/>
      <c r="AC97" s="178"/>
      <c r="AD97" s="107"/>
      <c r="AE97" s="107"/>
      <c r="AF97" s="107"/>
      <c r="AG97" s="107"/>
      <c r="AH97" s="107"/>
      <c r="AI97" s="107"/>
      <c r="AJ97" s="107"/>
      <c r="AK97" s="107"/>
      <c r="AL97" s="107"/>
      <c r="AM97" s="107"/>
      <c r="AN97" s="107"/>
      <c r="AO97" s="107"/>
      <c r="AP97" s="107"/>
      <c r="AQ97" s="107"/>
      <c r="AR97" s="107"/>
      <c r="AS97" s="107"/>
      <c r="AT97" s="107"/>
      <c r="AU97" s="107"/>
      <c r="AV97" s="107"/>
      <c r="AW97" s="107"/>
    </row>
    <row r="98" spans="2:49">
      <c r="B98" s="1" t="s">
        <v>17</v>
      </c>
      <c r="C98" s="65">
        <f t="shared" ref="C98:D98" si="55">+C85*C$16</f>
        <v>0</v>
      </c>
      <c r="D98" s="65">
        <f t="shared" si="55"/>
        <v>0</v>
      </c>
      <c r="E98" s="65">
        <f>+E85*E$16</f>
        <v>0</v>
      </c>
      <c r="F98" s="65">
        <f>+F85*F$16</f>
        <v>3066000000</v>
      </c>
      <c r="G98" s="65">
        <f t="shared" ref="G98:K98" si="56">+G85*G$16</f>
        <v>4500000000</v>
      </c>
      <c r="H98" s="65">
        <f t="shared" si="56"/>
        <v>5018000000</v>
      </c>
      <c r="I98" s="65">
        <f t="shared" si="56"/>
        <v>4632000000</v>
      </c>
      <c r="J98" s="65">
        <f t="shared" si="56"/>
        <v>5500500000</v>
      </c>
      <c r="K98" s="65">
        <f t="shared" si="56"/>
        <v>5500500000</v>
      </c>
      <c r="L98" s="8"/>
      <c r="M98" s="8"/>
      <c r="N98" s="8"/>
      <c r="O98" s="8"/>
      <c r="P98" s="8"/>
      <c r="Z98" s="174"/>
      <c r="AA98" s="176"/>
      <c r="AB98" s="177"/>
      <c r="AC98" s="178"/>
      <c r="AD98" s="107"/>
      <c r="AE98" s="107"/>
      <c r="AF98" s="107"/>
      <c r="AG98" s="107"/>
      <c r="AH98" s="107"/>
      <c r="AI98" s="107"/>
      <c r="AJ98" s="107"/>
      <c r="AK98" s="107"/>
      <c r="AL98" s="107"/>
      <c r="AM98" s="107"/>
      <c r="AN98" s="107"/>
      <c r="AO98" s="107"/>
      <c r="AP98" s="107"/>
      <c r="AQ98" s="107"/>
      <c r="AR98" s="107"/>
      <c r="AS98" s="107"/>
      <c r="AT98" s="107"/>
      <c r="AU98" s="107"/>
      <c r="AV98" s="107"/>
      <c r="AW98" s="107"/>
    </row>
    <row r="99" spans="2:49">
      <c r="C99" s="8"/>
      <c r="D99" s="1"/>
      <c r="E99" s="8"/>
      <c r="F99" s="8"/>
      <c r="G99" s="8"/>
      <c r="H99" s="8"/>
      <c r="I99" s="8"/>
      <c r="J99" s="8"/>
      <c r="K99" s="8"/>
      <c r="L99" s="8"/>
      <c r="M99" s="8"/>
      <c r="N99" s="8"/>
      <c r="O99" s="8"/>
      <c r="P99" s="8"/>
      <c r="Z99" s="174"/>
      <c r="AA99" s="176"/>
      <c r="AB99" s="177"/>
      <c r="AC99" s="178"/>
      <c r="AD99" s="107"/>
      <c r="AE99" s="107"/>
      <c r="AF99" s="107"/>
      <c r="AG99" s="107"/>
      <c r="AH99" s="107"/>
      <c r="AI99" s="107"/>
      <c r="AJ99" s="107"/>
      <c r="AK99" s="107"/>
      <c r="AL99" s="107"/>
      <c r="AM99" s="107"/>
      <c r="AN99" s="107"/>
      <c r="AO99" s="107"/>
      <c r="AP99" s="107"/>
      <c r="AQ99" s="107"/>
      <c r="AR99" s="107"/>
      <c r="AS99" s="107"/>
      <c r="AT99" s="107"/>
      <c r="AU99" s="107"/>
      <c r="AV99" s="107"/>
      <c r="AW99" s="107"/>
    </row>
    <row r="100" spans="2:49">
      <c r="C100" s="30">
        <v>0</v>
      </c>
      <c r="D100" s="30">
        <f>+C100+1</f>
        <v>1</v>
      </c>
      <c r="E100" s="30">
        <f t="shared" ref="E100:X100" si="57">+D100+1</f>
        <v>2</v>
      </c>
      <c r="F100" s="30">
        <f t="shared" si="57"/>
        <v>3</v>
      </c>
      <c r="G100" s="30">
        <f t="shared" si="57"/>
        <v>4</v>
      </c>
      <c r="H100" s="30">
        <f t="shared" si="57"/>
        <v>5</v>
      </c>
      <c r="I100" s="30">
        <f t="shared" si="57"/>
        <v>6</v>
      </c>
      <c r="J100" s="30">
        <f t="shared" si="57"/>
        <v>7</v>
      </c>
      <c r="K100" s="30">
        <f t="shared" si="57"/>
        <v>8</v>
      </c>
      <c r="L100" s="30">
        <f t="shared" si="57"/>
        <v>9</v>
      </c>
      <c r="M100" s="30">
        <f t="shared" si="57"/>
        <v>10</v>
      </c>
      <c r="N100" s="30">
        <f t="shared" si="57"/>
        <v>11</v>
      </c>
      <c r="O100" s="30">
        <f t="shared" si="57"/>
        <v>12</v>
      </c>
      <c r="P100" s="30">
        <f t="shared" si="57"/>
        <v>13</v>
      </c>
      <c r="Q100" s="30">
        <f t="shared" si="57"/>
        <v>14</v>
      </c>
      <c r="R100" s="30">
        <f t="shared" si="57"/>
        <v>15</v>
      </c>
      <c r="S100" s="30">
        <f t="shared" si="57"/>
        <v>16</v>
      </c>
      <c r="T100" s="30">
        <f t="shared" si="57"/>
        <v>17</v>
      </c>
      <c r="U100" s="30">
        <f t="shared" si="57"/>
        <v>18</v>
      </c>
      <c r="V100" s="30">
        <f t="shared" si="57"/>
        <v>19</v>
      </c>
      <c r="W100" s="30">
        <f t="shared" si="57"/>
        <v>20</v>
      </c>
      <c r="X100" s="30">
        <f t="shared" si="57"/>
        <v>21</v>
      </c>
      <c r="Z100" s="174"/>
      <c r="AA100" s="176"/>
      <c r="AB100" s="177"/>
      <c r="AC100" s="178"/>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row>
    <row r="101" spans="2:49">
      <c r="B101" s="15"/>
      <c r="C101" s="64">
        <f t="shared" ref="C101:X101" si="58">C65</f>
        <v>44197</v>
      </c>
      <c r="D101" s="64">
        <f t="shared" si="58"/>
        <v>44561</v>
      </c>
      <c r="E101" s="64">
        <f t="shared" si="58"/>
        <v>44926</v>
      </c>
      <c r="F101" s="64">
        <f t="shared" si="58"/>
        <v>45291</v>
      </c>
      <c r="G101" s="64">
        <f t="shared" si="58"/>
        <v>45657</v>
      </c>
      <c r="H101" s="64">
        <f t="shared" si="58"/>
        <v>46022</v>
      </c>
      <c r="I101" s="64">
        <f t="shared" si="58"/>
        <v>46387</v>
      </c>
      <c r="J101" s="64">
        <f t="shared" si="58"/>
        <v>46752</v>
      </c>
      <c r="K101" s="64">
        <f t="shared" si="58"/>
        <v>47118</v>
      </c>
      <c r="L101" s="64">
        <f t="shared" si="58"/>
        <v>47483.25</v>
      </c>
      <c r="M101" s="64">
        <f t="shared" si="58"/>
        <v>47848.5</v>
      </c>
      <c r="N101" s="64">
        <f t="shared" si="58"/>
        <v>48213.75</v>
      </c>
      <c r="O101" s="64">
        <f t="shared" si="58"/>
        <v>48579</v>
      </c>
      <c r="P101" s="64">
        <f t="shared" si="58"/>
        <v>48944.25</v>
      </c>
      <c r="Q101" s="64">
        <f t="shared" si="58"/>
        <v>49309.5</v>
      </c>
      <c r="R101" s="64">
        <f t="shared" si="58"/>
        <v>49674.75</v>
      </c>
      <c r="S101" s="64">
        <f t="shared" si="58"/>
        <v>50040</v>
      </c>
      <c r="T101" s="64">
        <f t="shared" si="58"/>
        <v>50405.25</v>
      </c>
      <c r="U101" s="64">
        <f t="shared" si="58"/>
        <v>50770.5</v>
      </c>
      <c r="V101" s="64">
        <f t="shared" si="58"/>
        <v>51135.75</v>
      </c>
      <c r="W101" s="64">
        <f t="shared" si="58"/>
        <v>51501</v>
      </c>
      <c r="X101" s="64">
        <f t="shared" si="58"/>
        <v>51866.25</v>
      </c>
      <c r="Z101" s="174"/>
      <c r="AA101" s="176"/>
      <c r="AB101" s="177"/>
      <c r="AC101" s="178"/>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row>
    <row r="102" spans="2:49">
      <c r="B102" s="1" t="s">
        <v>16</v>
      </c>
      <c r="C102" s="65">
        <f>+C96*(1-$D$41)</f>
        <v>0</v>
      </c>
      <c r="D102" s="65">
        <f t="shared" ref="D102:K102" si="59">+D96*(1-$D$41)</f>
        <v>-803967900</v>
      </c>
      <c r="E102" s="65">
        <f t="shared" si="59"/>
        <v>-1379935800</v>
      </c>
      <c r="F102" s="65">
        <f t="shared" si="59"/>
        <v>1649823200</v>
      </c>
      <c r="G102" s="65">
        <f t="shared" si="59"/>
        <v>4844335760</v>
      </c>
      <c r="H102" s="65">
        <f t="shared" si="59"/>
        <v>7135457600</v>
      </c>
      <c r="I102" s="65">
        <f t="shared" si="59"/>
        <v>9379173300</v>
      </c>
      <c r="J102" s="65">
        <f t="shared" si="59"/>
        <v>11615608200</v>
      </c>
      <c r="K102" s="65">
        <f t="shared" si="59"/>
        <v>11447327100</v>
      </c>
      <c r="L102" s="8"/>
      <c r="M102" s="8"/>
      <c r="N102" s="8"/>
      <c r="O102" s="8"/>
      <c r="P102" s="8"/>
      <c r="Z102" s="174"/>
      <c r="AA102" s="176"/>
      <c r="AB102" s="177"/>
      <c r="AC102" s="178"/>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row>
    <row r="103" spans="2:49">
      <c r="B103" s="1" t="s">
        <v>13</v>
      </c>
      <c r="C103" s="65">
        <f>+C95</f>
        <v>0</v>
      </c>
      <c r="D103" s="65">
        <f t="shared" ref="D103:J103" si="60">+D95</f>
        <v>600000000</v>
      </c>
      <c r="E103" s="65">
        <f t="shared" si="60"/>
        <v>900000000</v>
      </c>
      <c r="F103" s="65">
        <f t="shared" si="60"/>
        <v>910000000</v>
      </c>
      <c r="G103" s="65">
        <f t="shared" si="60"/>
        <v>920000000</v>
      </c>
      <c r="H103" s="65">
        <f t="shared" si="60"/>
        <v>930000000</v>
      </c>
      <c r="I103" s="65">
        <f t="shared" si="60"/>
        <v>940000000</v>
      </c>
      <c r="J103" s="65">
        <f t="shared" si="60"/>
        <v>950000000</v>
      </c>
      <c r="K103" s="65">
        <f>+K95</f>
        <v>960000000</v>
      </c>
      <c r="L103" s="8"/>
      <c r="M103" s="8"/>
      <c r="N103" s="8"/>
      <c r="O103" s="8"/>
      <c r="P103" s="8"/>
      <c r="Z103" s="174"/>
      <c r="AA103" s="176"/>
      <c r="AB103" s="177"/>
      <c r="AC103" s="178"/>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row>
    <row r="104" spans="2:49">
      <c r="B104" s="12" t="s">
        <v>19</v>
      </c>
      <c r="C104" s="65">
        <v>0</v>
      </c>
      <c r="D104" s="65">
        <f t="shared" ref="D104" si="61">+-D98+C98</f>
        <v>0</v>
      </c>
      <c r="E104" s="65">
        <f>+-E98+D98</f>
        <v>0</v>
      </c>
      <c r="F104" s="65">
        <f>+F98-E98</f>
        <v>3066000000</v>
      </c>
      <c r="G104" s="65">
        <f>+G98-F98</f>
        <v>1434000000</v>
      </c>
      <c r="H104" s="65">
        <f t="shared" ref="H104:K104" si="62">+H98-G98</f>
        <v>518000000</v>
      </c>
      <c r="I104" s="65">
        <f t="shared" si="62"/>
        <v>-386000000</v>
      </c>
      <c r="J104" s="65">
        <f t="shared" si="62"/>
        <v>868500000</v>
      </c>
      <c r="K104" s="65">
        <f t="shared" si="62"/>
        <v>0</v>
      </c>
      <c r="L104" s="8"/>
      <c r="M104" s="8"/>
      <c r="N104" s="8"/>
      <c r="O104" s="8"/>
      <c r="P104" s="8"/>
      <c r="Z104" s="174"/>
      <c r="AA104" s="176"/>
      <c r="AB104" s="177"/>
      <c r="AC104" s="178"/>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row>
    <row r="105" spans="2:49">
      <c r="B105" s="1" t="s">
        <v>20</v>
      </c>
      <c r="C105" s="65">
        <f t="shared" ref="C105:K105" si="63">+C14</f>
        <v>7000000000</v>
      </c>
      <c r="D105" s="65">
        <f t="shared" si="63"/>
        <v>5000000000</v>
      </c>
      <c r="E105" s="65">
        <f t="shared" si="63"/>
        <v>6000000000</v>
      </c>
      <c r="F105" s="65">
        <f t="shared" si="63"/>
        <v>200000000</v>
      </c>
      <c r="G105" s="65">
        <f t="shared" si="63"/>
        <v>200000000</v>
      </c>
      <c r="H105" s="65">
        <f t="shared" si="63"/>
        <v>200000000</v>
      </c>
      <c r="I105" s="65">
        <f t="shared" si="63"/>
        <v>200000000</v>
      </c>
      <c r="J105" s="65">
        <f t="shared" si="63"/>
        <v>200000000</v>
      </c>
      <c r="K105" s="65">
        <f t="shared" si="63"/>
        <v>200000000</v>
      </c>
      <c r="L105" s="8"/>
      <c r="M105" s="8"/>
      <c r="N105" s="8"/>
      <c r="O105" s="8"/>
      <c r="P105" s="8"/>
      <c r="X105" s="100">
        <v>-2190000000</v>
      </c>
      <c r="Z105" s="174"/>
      <c r="AA105" s="176"/>
      <c r="AB105" s="177"/>
      <c r="AC105" s="178"/>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row>
    <row r="106" spans="2:49">
      <c r="C106" s="8"/>
      <c r="D106" s="8"/>
      <c r="E106" s="8"/>
      <c r="F106" s="8"/>
      <c r="G106" s="8"/>
      <c r="H106" s="8"/>
      <c r="I106" s="8"/>
      <c r="J106" s="8"/>
      <c r="K106" s="8"/>
      <c r="L106" s="8"/>
      <c r="M106" s="8"/>
      <c r="N106" s="8"/>
      <c r="O106" s="8"/>
      <c r="P106" s="8"/>
      <c r="Z106" s="174"/>
      <c r="AA106" s="176"/>
      <c r="AB106" s="177"/>
      <c r="AC106" s="178"/>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row>
    <row r="107" spans="2:49">
      <c r="B107" s="94" t="s">
        <v>21</v>
      </c>
      <c r="C107" s="151">
        <f>C102+C103-C104-C105</f>
        <v>-7000000000</v>
      </c>
      <c r="D107" s="151">
        <f t="shared" ref="D107:K107" si="64">D102+D103-D104-D105</f>
        <v>-5203967900</v>
      </c>
      <c r="E107" s="151">
        <f>E102+E103-E104-E105</f>
        <v>-6479935800</v>
      </c>
      <c r="F107" s="151">
        <f t="shared" si="64"/>
        <v>-706176800</v>
      </c>
      <c r="G107" s="151">
        <f t="shared" si="64"/>
        <v>4130335760</v>
      </c>
      <c r="H107" s="151">
        <f t="shared" si="64"/>
        <v>7347457600</v>
      </c>
      <c r="I107" s="151">
        <f t="shared" si="64"/>
        <v>10505173300</v>
      </c>
      <c r="J107" s="151">
        <f t="shared" si="64"/>
        <v>11497108200</v>
      </c>
      <c r="K107" s="151">
        <f t="shared" si="64"/>
        <v>12207327100</v>
      </c>
      <c r="L107" s="151">
        <f>K107*(1+$C$43)</f>
        <v>12573546913</v>
      </c>
      <c r="M107" s="151">
        <f t="shared" ref="M107:W107" si="65">L107*(1+$C$43)</f>
        <v>12950753320.389999</v>
      </c>
      <c r="N107" s="151">
        <f t="shared" si="65"/>
        <v>13339275920.001699</v>
      </c>
      <c r="O107" s="151">
        <f t="shared" si="65"/>
        <v>13739454197.601751</v>
      </c>
      <c r="P107" s="151">
        <f t="shared" si="65"/>
        <v>14151637823.529804</v>
      </c>
      <c r="Q107" s="151">
        <f t="shared" si="65"/>
        <v>14576186958.235699</v>
      </c>
      <c r="R107" s="151">
        <f t="shared" si="65"/>
        <v>15013472566.982771</v>
      </c>
      <c r="S107" s="151">
        <f t="shared" si="65"/>
        <v>15463876743.992254</v>
      </c>
      <c r="T107" s="151">
        <f t="shared" si="65"/>
        <v>15927793046.312023</v>
      </c>
      <c r="U107" s="151">
        <f t="shared" si="65"/>
        <v>16405626837.701384</v>
      </c>
      <c r="V107" s="151">
        <f t="shared" si="65"/>
        <v>16897795642.832426</v>
      </c>
      <c r="W107" s="151">
        <f t="shared" si="65"/>
        <v>17404729512.117401</v>
      </c>
      <c r="X107" s="151">
        <f>-X105</f>
        <v>2190000000</v>
      </c>
      <c r="Z107" s="174"/>
      <c r="AA107" s="176"/>
      <c r="AB107" s="177"/>
      <c r="AC107" s="178"/>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row>
    <row r="108" spans="2:49">
      <c r="C108" s="8"/>
      <c r="D108" s="8"/>
      <c r="E108" s="8"/>
      <c r="F108" s="8"/>
      <c r="G108" s="8"/>
      <c r="H108" s="8"/>
      <c r="I108" s="8"/>
      <c r="J108" s="8"/>
      <c r="K108" s="8"/>
      <c r="L108" s="8"/>
      <c r="M108" s="8"/>
      <c r="N108" s="8"/>
      <c r="O108" s="8"/>
      <c r="P108" s="8"/>
      <c r="Z108" s="174"/>
      <c r="AA108" s="176"/>
      <c r="AB108" s="177"/>
      <c r="AC108" s="178"/>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row>
    <row r="109" spans="2:49">
      <c r="B109" s="31" t="s">
        <v>26</v>
      </c>
      <c r="C109" s="65">
        <f>+C107</f>
        <v>-7000000000</v>
      </c>
      <c r="D109" s="65">
        <f>+D107+C109</f>
        <v>-12203967900</v>
      </c>
      <c r="E109" s="65">
        <f t="shared" ref="E109:O109" si="66">+E107+D109</f>
        <v>-18683903700</v>
      </c>
      <c r="F109" s="65">
        <f t="shared" si="66"/>
        <v>-19390080500</v>
      </c>
      <c r="G109" s="65">
        <f t="shared" si="66"/>
        <v>-15259744740</v>
      </c>
      <c r="H109" s="65">
        <f t="shared" si="66"/>
        <v>-7912287140</v>
      </c>
      <c r="I109" s="65">
        <f t="shared" si="66"/>
        <v>2592886160</v>
      </c>
      <c r="J109" s="65">
        <f t="shared" si="66"/>
        <v>14089994360</v>
      </c>
      <c r="K109" s="65">
        <f t="shared" si="66"/>
        <v>26297321460</v>
      </c>
      <c r="L109" s="65">
        <f t="shared" si="66"/>
        <v>38870868373</v>
      </c>
      <c r="M109" s="65">
        <f t="shared" si="66"/>
        <v>51821621693.389999</v>
      </c>
      <c r="N109" s="65">
        <f t="shared" si="66"/>
        <v>65160897613.391701</v>
      </c>
      <c r="O109" s="65">
        <f t="shared" si="66"/>
        <v>78900351810.993454</v>
      </c>
      <c r="P109" s="65">
        <f>+P107+O109</f>
        <v>93051989634.523254</v>
      </c>
      <c r="Q109" s="65">
        <f t="shared" ref="Q109:X109" si="67">+Q107+P109</f>
        <v>107628176592.75896</v>
      </c>
      <c r="R109" s="65">
        <f t="shared" si="67"/>
        <v>122641649159.74173</v>
      </c>
      <c r="S109" s="65">
        <f t="shared" si="67"/>
        <v>138105525903.73398</v>
      </c>
      <c r="T109" s="65">
        <f t="shared" si="67"/>
        <v>154033318950.04599</v>
      </c>
      <c r="U109" s="65">
        <f t="shared" si="67"/>
        <v>170438945787.74738</v>
      </c>
      <c r="V109" s="65">
        <f t="shared" si="67"/>
        <v>187336741430.5798</v>
      </c>
      <c r="W109" s="65">
        <f t="shared" si="67"/>
        <v>204741470942.6972</v>
      </c>
      <c r="X109" s="65">
        <f t="shared" si="67"/>
        <v>206931470942.6972</v>
      </c>
      <c r="Z109" s="174"/>
      <c r="AA109" s="176"/>
      <c r="AB109" s="177"/>
      <c r="AC109" s="178"/>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row>
    <row r="110" spans="2:49" ht="15.75">
      <c r="B110" s="32"/>
      <c r="C110" s="8"/>
      <c r="D110" s="8"/>
      <c r="E110" s="8"/>
      <c r="F110" s="8"/>
      <c r="G110" s="8"/>
      <c r="H110" s="8"/>
      <c r="I110" s="8"/>
      <c r="J110" s="8"/>
      <c r="K110" s="8"/>
      <c r="L110" s="8"/>
      <c r="M110" s="8"/>
      <c r="N110" s="8"/>
      <c r="O110" s="8"/>
      <c r="P110" s="8"/>
      <c r="Z110" s="174"/>
      <c r="AA110" s="176"/>
      <c r="AB110" s="177"/>
      <c r="AC110" s="178"/>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row>
    <row r="111" spans="2:49">
      <c r="B111" s="31" t="s">
        <v>25</v>
      </c>
      <c r="C111" s="65">
        <f t="shared" ref="C111:O111" si="68">+C107/((1+wacc)^C100)</f>
        <v>-7000000000</v>
      </c>
      <c r="D111" s="65">
        <f t="shared" si="68"/>
        <v>-4629041006.9382668</v>
      </c>
      <c r="E111" s="65">
        <f t="shared" si="68"/>
        <v>-5127238754.2319508</v>
      </c>
      <c r="F111" s="65">
        <f t="shared" si="68"/>
        <v>-497030114.25024885</v>
      </c>
      <c r="G111" s="65">
        <f t="shared" si="68"/>
        <v>2585895876.2794223</v>
      </c>
      <c r="H111" s="65">
        <f t="shared" si="68"/>
        <v>4091845090.4736352</v>
      </c>
      <c r="I111" s="65">
        <f t="shared" si="68"/>
        <v>5204053293.9260712</v>
      </c>
      <c r="J111" s="65">
        <f t="shared" si="68"/>
        <v>5066214246.6718159</v>
      </c>
      <c r="K111" s="65">
        <f t="shared" si="68"/>
        <v>4784889734.9535589</v>
      </c>
      <c r="L111" s="65">
        <f t="shared" si="68"/>
        <v>4383949855.0099325</v>
      </c>
      <c r="M111" s="65">
        <f t="shared" si="68"/>
        <v>4016605898.114418</v>
      </c>
      <c r="N111" s="65">
        <f t="shared" si="68"/>
        <v>3680042763.7945657</v>
      </c>
      <c r="O111" s="65">
        <f t="shared" si="68"/>
        <v>3371681237.0649366</v>
      </c>
      <c r="P111" s="65">
        <f t="shared" ref="P111:X111" si="69">+P107/((1+wacc)^P100)</f>
        <v>3089158222.8935103</v>
      </c>
      <c r="Q111" s="65">
        <f t="shared" si="69"/>
        <v>2830308636.8798394</v>
      </c>
      <c r="R111" s="65">
        <f t="shared" si="69"/>
        <v>2593148813.366158</v>
      </c>
      <c r="S111" s="65">
        <f t="shared" si="69"/>
        <v>2375861303.831295</v>
      </c>
      <c r="T111" s="65">
        <f t="shared" si="69"/>
        <v>2176780949.071548</v>
      </c>
      <c r="U111" s="65">
        <f t="shared" si="69"/>
        <v>1994382118.4341698</v>
      </c>
      <c r="V111" s="65">
        <f t="shared" si="69"/>
        <v>1827267018.3127515</v>
      </c>
      <c r="W111" s="65">
        <f t="shared" si="69"/>
        <v>1674154980.3078935</v>
      </c>
      <c r="X111" s="65">
        <f t="shared" si="69"/>
        <v>187382450.75621969</v>
      </c>
      <c r="Z111" s="174"/>
      <c r="AA111" s="176"/>
      <c r="AB111" s="177"/>
      <c r="AC111" s="178"/>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row>
    <row r="112" spans="2:49">
      <c r="B112" s="31" t="s">
        <v>27</v>
      </c>
      <c r="C112" s="65">
        <f>+C111</f>
        <v>-7000000000</v>
      </c>
      <c r="D112" s="65">
        <f>+D111+C112</f>
        <v>-11629041006.938267</v>
      </c>
      <c r="E112" s="65">
        <f t="shared" ref="E112:O112" si="70">+E111+D112</f>
        <v>-16756279761.170218</v>
      </c>
      <c r="F112" s="65">
        <f t="shared" si="70"/>
        <v>-17253309875.420467</v>
      </c>
      <c r="G112" s="65">
        <f t="shared" si="70"/>
        <v>-14667413999.141045</v>
      </c>
      <c r="H112" s="65">
        <f t="shared" si="70"/>
        <v>-10575568908.66741</v>
      </c>
      <c r="I112" s="65">
        <f t="shared" si="70"/>
        <v>-5371515614.7413387</v>
      </c>
      <c r="J112" s="65">
        <f t="shared" si="70"/>
        <v>-305301368.06952286</v>
      </c>
      <c r="K112" s="65">
        <f t="shared" si="70"/>
        <v>4479588366.8840361</v>
      </c>
      <c r="L112" s="65">
        <f t="shared" si="70"/>
        <v>8863538221.8939686</v>
      </c>
      <c r="M112" s="65">
        <f t="shared" si="70"/>
        <v>12880144120.008387</v>
      </c>
      <c r="N112" s="65">
        <f t="shared" si="70"/>
        <v>16560186883.802952</v>
      </c>
      <c r="O112" s="65">
        <f t="shared" si="70"/>
        <v>19931868120.867889</v>
      </c>
      <c r="P112" s="65">
        <f>+P111+O112</f>
        <v>23021026343.761398</v>
      </c>
      <c r="Q112" s="65">
        <f t="shared" ref="Q112:X112" si="71">+Q111+P112</f>
        <v>25851334980.641239</v>
      </c>
      <c r="R112" s="65">
        <f t="shared" si="71"/>
        <v>28444483794.007397</v>
      </c>
      <c r="S112" s="65">
        <f t="shared" si="71"/>
        <v>30820345097.838692</v>
      </c>
      <c r="T112" s="65">
        <f t="shared" si="71"/>
        <v>32997126046.91024</v>
      </c>
      <c r="U112" s="65">
        <f t="shared" si="71"/>
        <v>34991508165.344406</v>
      </c>
      <c r="V112" s="65">
        <f t="shared" si="71"/>
        <v>36818775183.657158</v>
      </c>
      <c r="W112" s="65">
        <f t="shared" si="71"/>
        <v>38492930163.96505</v>
      </c>
      <c r="X112" s="65">
        <f t="shared" si="71"/>
        <v>38680312614.721268</v>
      </c>
      <c r="Z112" s="174"/>
      <c r="AA112" s="174"/>
      <c r="AB112" s="179"/>
      <c r="AC112" s="179"/>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row>
    <row r="113" spans="1:23">
      <c r="C113" s="8"/>
      <c r="D113" s="1"/>
      <c r="E113" s="8"/>
      <c r="F113" s="8"/>
      <c r="G113" s="8"/>
      <c r="H113" s="8"/>
      <c r="I113" s="8"/>
      <c r="J113" s="8"/>
      <c r="K113" s="8"/>
      <c r="L113" s="8"/>
      <c r="M113" s="8"/>
      <c r="N113" s="8"/>
      <c r="O113" s="8"/>
      <c r="P113" s="8"/>
    </row>
    <row r="114" spans="1:23">
      <c r="A114" s="56" t="s">
        <v>41</v>
      </c>
      <c r="B114" s="33" t="s">
        <v>65</v>
      </c>
      <c r="C114" s="72">
        <f>+NPV(wacc,D107:X107)+C107</f>
        <v>38680312614.721298</v>
      </c>
      <c r="D114" s="34"/>
      <c r="E114" s="37"/>
      <c r="F114" s="8"/>
      <c r="G114" s="1"/>
      <c r="H114" s="1"/>
      <c r="I114" s="103"/>
      <c r="J114" s="8"/>
      <c r="K114" s="8"/>
      <c r="L114" s="8"/>
      <c r="M114" s="8"/>
      <c r="N114" s="8"/>
      <c r="O114" s="8"/>
      <c r="P114" s="8"/>
    </row>
    <row r="116" spans="1:23">
      <c r="C116" s="57">
        <v>4</v>
      </c>
      <c r="D116" s="5" t="s">
        <v>155</v>
      </c>
    </row>
    <row r="117" spans="1:23">
      <c r="C117" s="84"/>
      <c r="D117" s="5" t="s">
        <v>156</v>
      </c>
    </row>
    <row r="118" spans="1:23">
      <c r="C118" s="84"/>
      <c r="D118" s="211" t="s">
        <v>160</v>
      </c>
    </row>
    <row r="119" spans="1:23">
      <c r="C119" s="84"/>
      <c r="D119" s="5"/>
    </row>
    <row r="120" spans="1:23">
      <c r="C120" s="84"/>
      <c r="D120" s="5" t="s">
        <v>71</v>
      </c>
    </row>
    <row r="121" spans="1:23">
      <c r="C121" s="84"/>
      <c r="D121" s="5" t="s">
        <v>72</v>
      </c>
    </row>
    <row r="122" spans="1:23">
      <c r="C122" s="1"/>
      <c r="D122" s="1"/>
    </row>
    <row r="123" spans="1:23">
      <c r="B123" s="14" t="s">
        <v>47</v>
      </c>
      <c r="C123" s="16"/>
      <c r="D123" s="38">
        <v>0.02</v>
      </c>
      <c r="E123" s="39">
        <f>+D123+$D123</f>
        <v>0.04</v>
      </c>
      <c r="F123" s="39">
        <f t="shared" ref="F123:Q123" si="72">+E123+$D123</f>
        <v>0.06</v>
      </c>
      <c r="G123" s="39">
        <f t="shared" si="72"/>
        <v>0.08</v>
      </c>
      <c r="H123" s="39">
        <f t="shared" si="72"/>
        <v>0.1</v>
      </c>
      <c r="I123" s="39">
        <f t="shared" si="72"/>
        <v>0.12000000000000001</v>
      </c>
      <c r="J123" s="39">
        <f t="shared" si="72"/>
        <v>0.14000000000000001</v>
      </c>
      <c r="K123" s="39">
        <f t="shared" si="72"/>
        <v>0.16</v>
      </c>
      <c r="L123" s="39">
        <f t="shared" si="72"/>
        <v>0.18</v>
      </c>
      <c r="M123" s="39">
        <f t="shared" si="72"/>
        <v>0.19999999999999998</v>
      </c>
      <c r="N123" s="39">
        <f t="shared" si="72"/>
        <v>0.21999999999999997</v>
      </c>
      <c r="O123" s="39">
        <f t="shared" si="72"/>
        <v>0.23999999999999996</v>
      </c>
      <c r="P123" s="39">
        <f>+O123+$D123</f>
        <v>0.25999999999999995</v>
      </c>
      <c r="Q123" s="39">
        <f t="shared" si="72"/>
        <v>0.27999999999999997</v>
      </c>
      <c r="R123" s="40">
        <f>+Q123+$D123</f>
        <v>0.3</v>
      </c>
      <c r="S123" s="40">
        <f t="shared" ref="S123:W123" si="73">+R123+$D123</f>
        <v>0.32</v>
      </c>
      <c r="T123" s="40">
        <f t="shared" si="73"/>
        <v>0.34</v>
      </c>
      <c r="U123" s="40">
        <f t="shared" si="73"/>
        <v>0.36000000000000004</v>
      </c>
      <c r="V123" s="40">
        <f t="shared" si="73"/>
        <v>0.38000000000000006</v>
      </c>
      <c r="W123" s="40">
        <f t="shared" si="73"/>
        <v>0.40000000000000008</v>
      </c>
    </row>
    <row r="124" spans="1:23">
      <c r="C124" s="81">
        <f>+C79</f>
        <v>14256112996.577133</v>
      </c>
      <c r="D124" s="82">
        <f t="dataTable" ref="D124:R124" dt2D="0" dtr="1" r1="C42" ca="1"/>
        <v>61543318371.835075</v>
      </c>
      <c r="E124" s="82">
        <v>46401901295.897499</v>
      </c>
      <c r="F124" s="82">
        <v>35131072390.32708</v>
      </c>
      <c r="G124" s="82">
        <v>26635903625.254223</v>
      </c>
      <c r="H124" s="82">
        <v>20155708483.042076</v>
      </c>
      <c r="I124" s="82">
        <v>15155819595.307156</v>
      </c>
      <c r="J124" s="82">
        <v>11256124958.28503</v>
      </c>
      <c r="K124" s="82">
        <v>8183361913.4484177</v>
      </c>
      <c r="L124" s="82">
        <v>5738931015.6005974</v>
      </c>
      <c r="M124" s="82">
        <v>3776954420.6467171</v>
      </c>
      <c r="N124" s="82">
        <v>2189165602.472846</v>
      </c>
      <c r="O124" s="82">
        <v>894399788.62299776</v>
      </c>
      <c r="P124" s="82">
        <v>-168786972.9604516</v>
      </c>
      <c r="Q124" s="82">
        <v>-1047350932.6089916</v>
      </c>
      <c r="R124" s="83">
        <v>-1777505554.6370819</v>
      </c>
      <c r="S124" s="83">
        <v>-1609268375.355644</v>
      </c>
      <c r="T124" s="83">
        <v>-1609268375.355644</v>
      </c>
      <c r="U124" s="83">
        <v>-1609268375.3556399</v>
      </c>
      <c r="V124" s="83">
        <v>-1609268375.3556399</v>
      </c>
      <c r="W124" s="83">
        <v>-1609268375.3556399</v>
      </c>
    </row>
    <row r="127" spans="1:23">
      <c r="B127" s="14" t="s">
        <v>69</v>
      </c>
      <c r="C127" s="16"/>
      <c r="D127" s="38">
        <v>0.02</v>
      </c>
      <c r="E127" s="39">
        <f>+D127+$D127</f>
        <v>0.04</v>
      </c>
      <c r="F127" s="39">
        <f t="shared" ref="F127:O127" si="74">+E127+$D127</f>
        <v>0.06</v>
      </c>
      <c r="G127" s="39">
        <f t="shared" si="74"/>
        <v>0.08</v>
      </c>
      <c r="H127" s="39">
        <f t="shared" si="74"/>
        <v>0.1</v>
      </c>
      <c r="I127" s="39">
        <f t="shared" si="74"/>
        <v>0.12000000000000001</v>
      </c>
      <c r="J127" s="39">
        <f t="shared" si="74"/>
        <v>0.14000000000000001</v>
      </c>
      <c r="K127" s="39">
        <f t="shared" si="74"/>
        <v>0.16</v>
      </c>
      <c r="L127" s="39">
        <f t="shared" si="74"/>
        <v>0.18</v>
      </c>
      <c r="M127" s="39">
        <f t="shared" si="74"/>
        <v>0.19999999999999998</v>
      </c>
      <c r="N127" s="39">
        <f t="shared" si="74"/>
        <v>0.21999999999999997</v>
      </c>
      <c r="O127" s="39">
        <f t="shared" si="74"/>
        <v>0.23999999999999996</v>
      </c>
      <c r="P127" s="39">
        <f>+O127+$D127</f>
        <v>0.25999999999999995</v>
      </c>
      <c r="Q127" s="39">
        <f t="shared" ref="Q127" si="75">+P127+$D127</f>
        <v>0.27999999999999997</v>
      </c>
      <c r="R127" s="40">
        <f>+Q127+$D127</f>
        <v>0.3</v>
      </c>
      <c r="S127" s="40">
        <f t="shared" ref="S127:W127" si="76">+R127+$D127</f>
        <v>0.32</v>
      </c>
      <c r="T127" s="40">
        <f t="shared" si="76"/>
        <v>0.34</v>
      </c>
      <c r="U127" s="40">
        <f t="shared" si="76"/>
        <v>0.36000000000000004</v>
      </c>
      <c r="V127" s="40">
        <f t="shared" si="76"/>
        <v>0.38000000000000006</v>
      </c>
      <c r="W127" s="40">
        <f t="shared" si="76"/>
        <v>0.40000000000000008</v>
      </c>
    </row>
    <row r="128" spans="1:23">
      <c r="C128" s="81">
        <f>+C114</f>
        <v>38680312614.721298</v>
      </c>
      <c r="D128" s="82">
        <f t="dataTable" ref="D128:R128" dt2D="0" dtr="1" r1="C42" ca="1"/>
        <v>155962818128.84891</v>
      </c>
      <c r="E128" s="82">
        <v>118444850337.02425</v>
      </c>
      <c r="F128" s="82">
        <v>90485000171.298508</v>
      </c>
      <c r="G128" s="82">
        <v>69399050320.390915</v>
      </c>
      <c r="H128" s="82">
        <v>53314657829.000404</v>
      </c>
      <c r="I128" s="82">
        <v>40911057528.401337</v>
      </c>
      <c r="J128" s="82">
        <v>31246304965.566139</v>
      </c>
      <c r="K128" s="82">
        <v>23641398353.923405</v>
      </c>
      <c r="L128" s="82">
        <v>17601745421.842304</v>
      </c>
      <c r="M128" s="82">
        <v>12763400208.516125</v>
      </c>
      <c r="N128" s="82">
        <v>8855892803.1544743</v>
      </c>
      <c r="O128" s="82">
        <v>5676282414.6987629</v>
      </c>
      <c r="P128" s="82">
        <v>3070873821.0837593</v>
      </c>
      <c r="Q128" s="82">
        <v>922214908.99773407</v>
      </c>
      <c r="R128" s="83">
        <v>-860233474.83911419</v>
      </c>
      <c r="S128" s="83">
        <v>-653961386.5099802</v>
      </c>
      <c r="T128" s="83">
        <v>-653961386.5099802</v>
      </c>
      <c r="U128" s="83">
        <v>-653961386.5099802</v>
      </c>
      <c r="V128" s="83">
        <v>-653961386.5099802</v>
      </c>
      <c r="W128" s="83">
        <v>-653961386.5099802</v>
      </c>
    </row>
    <row r="130" spans="2:19">
      <c r="D130" s="5" t="s">
        <v>120</v>
      </c>
    </row>
    <row r="131" spans="2:19">
      <c r="D131" s="5" t="s">
        <v>121</v>
      </c>
    </row>
    <row r="132" spans="2:19">
      <c r="B132" s="80"/>
    </row>
    <row r="133" spans="2:19">
      <c r="C133" s="16"/>
      <c r="D133" s="38">
        <v>-0.05</v>
      </c>
      <c r="E133" s="39">
        <f>D133+0.01</f>
        <v>-0.04</v>
      </c>
      <c r="F133" s="39">
        <f t="shared" ref="F133:S133" si="77">E133+0.01</f>
        <v>-0.03</v>
      </c>
      <c r="G133" s="39">
        <f t="shared" si="77"/>
        <v>-1.9999999999999997E-2</v>
      </c>
      <c r="H133" s="39">
        <f t="shared" si="77"/>
        <v>-9.9999999999999967E-3</v>
      </c>
      <c r="I133" s="39">
        <f t="shared" si="77"/>
        <v>0</v>
      </c>
      <c r="J133" s="39">
        <f t="shared" si="77"/>
        <v>0.01</v>
      </c>
      <c r="K133" s="39">
        <f t="shared" si="77"/>
        <v>0.02</v>
      </c>
      <c r="L133" s="39">
        <f t="shared" si="77"/>
        <v>0.03</v>
      </c>
      <c r="M133" s="39">
        <f t="shared" si="77"/>
        <v>0.04</v>
      </c>
      <c r="N133" s="39">
        <f t="shared" si="77"/>
        <v>0.05</v>
      </c>
      <c r="O133" s="39">
        <f t="shared" si="77"/>
        <v>6.0000000000000005E-2</v>
      </c>
      <c r="P133" s="39">
        <f t="shared" si="77"/>
        <v>7.0000000000000007E-2</v>
      </c>
      <c r="Q133" s="39">
        <f t="shared" si="77"/>
        <v>0.08</v>
      </c>
      <c r="R133" s="40">
        <f t="shared" si="77"/>
        <v>0.09</v>
      </c>
      <c r="S133" s="40">
        <f t="shared" si="77"/>
        <v>9.9999999999999992E-2</v>
      </c>
    </row>
    <row r="134" spans="2:19">
      <c r="B134" s="14" t="s">
        <v>47</v>
      </c>
      <c r="C134" s="81">
        <f>NPVpt</f>
        <v>14256112996.577133</v>
      </c>
      <c r="D134" s="82">
        <f t="dataTable" ref="D134:S134" dt2D="0" dtr="1" r1="C43" ca="1"/>
        <v>9879163985.1848412</v>
      </c>
      <c r="E134" s="82">
        <v>10315554037.395971</v>
      </c>
      <c r="F134" s="82">
        <v>10779352551.726852</v>
      </c>
      <c r="G134" s="82">
        <v>11272493288.973963</v>
      </c>
      <c r="H134" s="82">
        <v>11797046775.949247</v>
      </c>
      <c r="I134" s="82">
        <v>12355229442.654263</v>
      </c>
      <c r="J134" s="82">
        <v>12949413313.386627</v>
      </c>
      <c r="K134" s="82">
        <v>13582136281.21454</v>
      </c>
      <c r="L134" s="82">
        <v>14256112996.577133</v>
      </c>
      <c r="M134" s="82">
        <v>14974246402.13744</v>
      </c>
      <c r="N134" s="82">
        <v>15739639947.433651</v>
      </c>
      <c r="O134" s="82">
        <v>16555610518.343178</v>
      </c>
      <c r="P134" s="82">
        <v>17425702117.895222</v>
      </c>
      <c r="Q134" s="82">
        <v>18353700336.54147</v>
      </c>
      <c r="R134" s="83">
        <v>19343647651.623344</v>
      </c>
      <c r="S134" s="83">
        <v>20399859597.459236</v>
      </c>
    </row>
    <row r="136" spans="2:19">
      <c r="C136" s="16"/>
      <c r="D136" s="38">
        <v>-0.05</v>
      </c>
      <c r="E136" s="39">
        <f>D136+0.01</f>
        <v>-0.04</v>
      </c>
      <c r="F136" s="39">
        <f t="shared" ref="F136:S136" si="78">E136+0.01</f>
        <v>-0.03</v>
      </c>
      <c r="G136" s="39">
        <f t="shared" si="78"/>
        <v>-1.9999999999999997E-2</v>
      </c>
      <c r="H136" s="39">
        <f t="shared" si="78"/>
        <v>-9.9999999999999967E-3</v>
      </c>
      <c r="I136" s="39">
        <f t="shared" si="78"/>
        <v>0</v>
      </c>
      <c r="J136" s="39">
        <f t="shared" si="78"/>
        <v>0.01</v>
      </c>
      <c r="K136" s="39">
        <f t="shared" si="78"/>
        <v>0.02</v>
      </c>
      <c r="L136" s="39">
        <f t="shared" si="78"/>
        <v>0.03</v>
      </c>
      <c r="M136" s="39">
        <f t="shared" si="78"/>
        <v>0.04</v>
      </c>
      <c r="N136" s="39">
        <f t="shared" si="78"/>
        <v>0.05</v>
      </c>
      <c r="O136" s="39">
        <f t="shared" si="78"/>
        <v>6.0000000000000005E-2</v>
      </c>
      <c r="P136" s="39">
        <f t="shared" si="78"/>
        <v>7.0000000000000007E-2</v>
      </c>
      <c r="Q136" s="39">
        <f t="shared" si="78"/>
        <v>0.08</v>
      </c>
      <c r="R136" s="40">
        <f t="shared" si="78"/>
        <v>0.09</v>
      </c>
      <c r="S136" s="40">
        <f t="shared" si="78"/>
        <v>9.9999999999999992E-2</v>
      </c>
    </row>
    <row r="137" spans="2:19">
      <c r="B137" s="14" t="s">
        <v>69</v>
      </c>
      <c r="C137" s="81">
        <f>C114</f>
        <v>38680312614.721298</v>
      </c>
      <c r="D137" s="82">
        <f t="dataTable" ref="D137:S137" dt2D="0" dtr="1" r1="C43" ca="1"/>
        <v>27301123606.616058</v>
      </c>
      <c r="E137" s="82">
        <v>28435650162.087105</v>
      </c>
      <c r="F137" s="82">
        <v>29641433218.392525</v>
      </c>
      <c r="G137" s="82">
        <v>30923500165.511528</v>
      </c>
      <c r="H137" s="82">
        <v>32287233957.615646</v>
      </c>
      <c r="I137" s="82">
        <v>33738396867.887749</v>
      </c>
      <c r="J137" s="82">
        <v>35283155683.453735</v>
      </c>
      <c r="K137" s="82">
        <v>36928108416.954491</v>
      </c>
      <c r="L137" s="82">
        <v>38680312614.721298</v>
      </c>
      <c r="M137" s="82">
        <v>40547315345.078835</v>
      </c>
      <c r="N137" s="82">
        <v>42537184953.986794</v>
      </c>
      <c r="O137" s="82">
        <v>44658544679.05188</v>
      </c>
      <c r="P137" s="82">
        <v>46920608216.894623</v>
      </c>
      <c r="Q137" s="82">
        <v>49333217342.949196</v>
      </c>
      <c r="R137" s="83">
        <v>51906881687.007835</v>
      </c>
      <c r="S137" s="83">
        <v>54652820772.202263</v>
      </c>
    </row>
    <row r="139" spans="2:19">
      <c r="D139" s="210" t="s">
        <v>157</v>
      </c>
    </row>
    <row r="140" spans="2:19">
      <c r="D140" s="210" t="s">
        <v>158</v>
      </c>
    </row>
    <row r="142" spans="2:19">
      <c r="D142" s="5" t="s">
        <v>122</v>
      </c>
    </row>
    <row r="143" spans="2:19">
      <c r="D143" s="5" t="s">
        <v>123</v>
      </c>
    </row>
    <row r="144" spans="2:19">
      <c r="D144" s="5"/>
    </row>
    <row r="145" spans="2:12">
      <c r="D145" s="206" t="s">
        <v>124</v>
      </c>
      <c r="E145" s="206"/>
      <c r="F145" s="206"/>
      <c r="G145" s="206"/>
      <c r="H145" s="206"/>
      <c r="I145" s="206"/>
      <c r="J145" s="206"/>
      <c r="K145" s="206"/>
      <c r="L145" s="206"/>
    </row>
    <row r="146" spans="2:12">
      <c r="B146" s="14" t="s">
        <v>47</v>
      </c>
      <c r="C146" s="135">
        <f>NPVpt</f>
        <v>14256112996.577133</v>
      </c>
      <c r="D146" s="134">
        <f t="shared" ref="D146:F146" si="79">E146-5000</f>
        <v>20000</v>
      </c>
      <c r="E146" s="134">
        <f t="shared" si="79"/>
        <v>25000</v>
      </c>
      <c r="F146" s="134">
        <f t="shared" si="79"/>
        <v>30000</v>
      </c>
      <c r="G146" s="134">
        <f>H146-5000</f>
        <v>35000</v>
      </c>
      <c r="H146" s="134">
        <v>40000</v>
      </c>
      <c r="I146" s="134">
        <f>H146+5000</f>
        <v>45000</v>
      </c>
      <c r="J146" s="134">
        <f t="shared" ref="J146:L146" si="80">I146+5000</f>
        <v>50000</v>
      </c>
      <c r="K146" s="134">
        <f t="shared" si="80"/>
        <v>55000</v>
      </c>
      <c r="L146" s="136">
        <f t="shared" si="80"/>
        <v>60000</v>
      </c>
    </row>
    <row r="147" spans="2:12">
      <c r="B147" s="205" t="s">
        <v>125</v>
      </c>
      <c r="C147" s="137">
        <f t="shared" ref="C147:C149" si="81">C148-4000</f>
        <v>14000</v>
      </c>
      <c r="D147" s="125">
        <f t="dataTable" ref="D147:L155" dt2D="1" dtr="1" r1="E20" r2="E21" ca="1"/>
        <v>-4308313860.2078686</v>
      </c>
      <c r="E147" s="125">
        <v>-423552947.94447374</v>
      </c>
      <c r="F147" s="125">
        <v>3461207964.3189249</v>
      </c>
      <c r="G147" s="125">
        <v>7345968876.5823212</v>
      </c>
      <c r="H147" s="125">
        <v>11230729788.845716</v>
      </c>
      <c r="I147" s="125">
        <v>15115490701.109112</v>
      </c>
      <c r="J147" s="125">
        <v>19000251613.372505</v>
      </c>
      <c r="K147" s="125">
        <v>22885012525.635899</v>
      </c>
      <c r="L147" s="97">
        <v>26769773437.899307</v>
      </c>
    </row>
    <row r="148" spans="2:12">
      <c r="B148" s="205"/>
      <c r="C148" s="137">
        <f t="shared" si="81"/>
        <v>18000</v>
      </c>
      <c r="D148" s="125">
        <v>-3551968058.2750149</v>
      </c>
      <c r="E148" s="125">
        <v>332792853.98838186</v>
      </c>
      <c r="F148" s="125">
        <v>4217553766.2517767</v>
      </c>
      <c r="G148" s="125">
        <v>8102314678.5151711</v>
      </c>
      <c r="H148" s="125">
        <v>11987075590.778568</v>
      </c>
      <c r="I148" s="125">
        <v>15871836503.041962</v>
      </c>
      <c r="J148" s="125">
        <v>19756597415.305363</v>
      </c>
      <c r="K148" s="125">
        <v>23641358327.568756</v>
      </c>
      <c r="L148" s="97">
        <v>27526119239.832153</v>
      </c>
    </row>
    <row r="149" spans="2:12">
      <c r="B149" s="205"/>
      <c r="C149" s="137">
        <f t="shared" si="81"/>
        <v>22000</v>
      </c>
      <c r="D149" s="125">
        <v>-2795622256.3421612</v>
      </c>
      <c r="E149" s="125">
        <v>1089138655.9212365</v>
      </c>
      <c r="F149" s="125">
        <v>4973899568.1846333</v>
      </c>
      <c r="G149" s="125">
        <v>8858660480.4480267</v>
      </c>
      <c r="H149" s="125">
        <v>12743421392.711428</v>
      </c>
      <c r="I149" s="125">
        <v>16628182304.974823</v>
      </c>
      <c r="J149" s="125">
        <v>20512943217.238216</v>
      </c>
      <c r="K149" s="125">
        <v>24397704129.501614</v>
      </c>
      <c r="L149" s="97">
        <v>28282465041.764999</v>
      </c>
    </row>
    <row r="150" spans="2:12">
      <c r="B150" s="205"/>
      <c r="C150" s="137">
        <f>C151-4000</f>
        <v>26000</v>
      </c>
      <c r="D150" s="125">
        <v>-2039276454.409306</v>
      </c>
      <c r="E150" s="125">
        <v>1845484457.8540916</v>
      </c>
      <c r="F150" s="125">
        <v>5730245370.117485</v>
      </c>
      <c r="G150" s="125">
        <v>9615006282.3808823</v>
      </c>
      <c r="H150" s="125">
        <v>13499767194.644276</v>
      </c>
      <c r="I150" s="125">
        <v>17384528106.907669</v>
      </c>
      <c r="J150" s="125">
        <v>21269289019.171066</v>
      </c>
      <c r="K150" s="125">
        <v>25154049931.434464</v>
      </c>
      <c r="L150" s="97">
        <v>29038810843.697845</v>
      </c>
    </row>
    <row r="151" spans="2:12">
      <c r="B151" s="205"/>
      <c r="C151" s="137">
        <v>30000</v>
      </c>
      <c r="D151" s="125">
        <v>-1282930652.4764526</v>
      </c>
      <c r="E151" s="125">
        <v>2601830259.7869434</v>
      </c>
      <c r="F151" s="125">
        <v>6486591172.0503368</v>
      </c>
      <c r="G151" s="125">
        <v>10371352084.313738</v>
      </c>
      <c r="H151" s="125">
        <v>14256112996.577133</v>
      </c>
      <c r="I151" s="125">
        <v>18140873908.840527</v>
      </c>
      <c r="J151" s="125">
        <v>22025634821.103924</v>
      </c>
      <c r="K151" s="125">
        <v>25910395733.367325</v>
      </c>
      <c r="L151" s="97">
        <v>29795156645.630722</v>
      </c>
    </row>
    <row r="152" spans="2:12">
      <c r="B152" s="205"/>
      <c r="C152" s="137">
        <f>C151+4000</f>
        <v>34000</v>
      </c>
      <c r="D152" s="125">
        <v>-526584850.54359913</v>
      </c>
      <c r="E152" s="125">
        <v>3358176061.7197952</v>
      </c>
      <c r="F152" s="125">
        <v>7242936973.9831905</v>
      </c>
      <c r="G152" s="125">
        <v>11127697886.246588</v>
      </c>
      <c r="H152" s="125">
        <v>15012458798.509991</v>
      </c>
      <c r="I152" s="125">
        <v>18897219710.773388</v>
      </c>
      <c r="J152" s="125">
        <v>22781980623.036781</v>
      </c>
      <c r="K152" s="125">
        <v>26666741535.300175</v>
      </c>
      <c r="L152" s="97">
        <v>30551502447.56356</v>
      </c>
    </row>
    <row r="153" spans="2:12">
      <c r="B153" s="205"/>
      <c r="C153" s="137">
        <f t="shared" ref="C153:C155" si="82">C152+4000</f>
        <v>38000</v>
      </c>
      <c r="D153" s="125">
        <v>229760951.38925505</v>
      </c>
      <c r="E153" s="125">
        <v>4114521863.6526508</v>
      </c>
      <c r="F153" s="125">
        <v>7999282775.9160461</v>
      </c>
      <c r="G153" s="125">
        <v>11884043688.179441</v>
      </c>
      <c r="H153" s="125">
        <v>15768804600.442841</v>
      </c>
      <c r="I153" s="125">
        <v>19653565512.706242</v>
      </c>
      <c r="J153" s="125">
        <v>23538326424.969627</v>
      </c>
      <c r="K153" s="125">
        <v>27423087337.233028</v>
      </c>
      <c r="L153" s="97">
        <v>31307848249.496418</v>
      </c>
    </row>
    <row r="154" spans="2:12">
      <c r="B154" s="205"/>
      <c r="C154" s="137">
        <f t="shared" si="82"/>
        <v>42000</v>
      </c>
      <c r="D154" s="125">
        <v>986106753.32210684</v>
      </c>
      <c r="E154" s="125">
        <v>4870867665.5855055</v>
      </c>
      <c r="F154" s="125">
        <v>8755628577.8488998</v>
      </c>
      <c r="G154" s="125">
        <v>12640389490.112295</v>
      </c>
      <c r="H154" s="125">
        <v>16525150402.37569</v>
      </c>
      <c r="I154" s="125">
        <v>20409911314.639091</v>
      </c>
      <c r="J154" s="125">
        <v>24294672226.902485</v>
      </c>
      <c r="K154" s="125">
        <v>28179433139.165882</v>
      </c>
      <c r="L154" s="97">
        <v>32064194051.429276</v>
      </c>
    </row>
    <row r="155" spans="2:12">
      <c r="B155" s="205"/>
      <c r="C155" s="138">
        <f t="shared" si="82"/>
        <v>46000</v>
      </c>
      <c r="D155" s="98">
        <v>1742452555.254961</v>
      </c>
      <c r="E155" s="98">
        <v>5627213467.5183601</v>
      </c>
      <c r="F155" s="98">
        <v>9511974379.7817554</v>
      </c>
      <c r="G155" s="98">
        <v>13396735292.045149</v>
      </c>
      <c r="H155" s="98">
        <v>17281496204.308544</v>
      </c>
      <c r="I155" s="98">
        <v>21166257116.571934</v>
      </c>
      <c r="J155" s="98">
        <v>25051018028.835331</v>
      </c>
      <c r="K155" s="98">
        <v>28935778941.098728</v>
      </c>
      <c r="L155" s="99">
        <v>32820539853.362122</v>
      </c>
    </row>
    <row r="157" spans="2:12">
      <c r="D157" s="204" t="s">
        <v>124</v>
      </c>
      <c r="E157" s="204"/>
      <c r="F157" s="204"/>
      <c r="G157" s="204"/>
      <c r="H157" s="204"/>
      <c r="I157" s="204"/>
      <c r="J157" s="204"/>
      <c r="K157" s="204"/>
      <c r="L157" s="204"/>
    </row>
    <row r="158" spans="2:12">
      <c r="B158" s="14" t="s">
        <v>63</v>
      </c>
      <c r="C158" s="135">
        <f>C114</f>
        <v>38680312614.721298</v>
      </c>
      <c r="D158" s="134">
        <v>20000</v>
      </c>
      <c r="E158" s="134">
        <f>D158+5000</f>
        <v>25000</v>
      </c>
      <c r="F158" s="134">
        <f t="shared" ref="F158:L158" si="83">E158+5000</f>
        <v>30000</v>
      </c>
      <c r="G158" s="134">
        <f t="shared" si="83"/>
        <v>35000</v>
      </c>
      <c r="H158" s="134">
        <f t="shared" si="83"/>
        <v>40000</v>
      </c>
      <c r="I158" s="134">
        <f t="shared" si="83"/>
        <v>45000</v>
      </c>
      <c r="J158" s="134">
        <f t="shared" si="83"/>
        <v>50000</v>
      </c>
      <c r="K158" s="134">
        <f t="shared" si="83"/>
        <v>55000</v>
      </c>
      <c r="L158" s="134">
        <f t="shared" si="83"/>
        <v>60000</v>
      </c>
    </row>
    <row r="159" spans="2:12">
      <c r="B159" s="203" t="s">
        <v>125</v>
      </c>
      <c r="C159" s="137">
        <v>14000</v>
      </c>
      <c r="D159" s="125">
        <f t="dataTable" ref="D159:L167" dt2D="1" dtr="1" r1="E20" r2="E21" ca="1"/>
        <v>27127016666.118351</v>
      </c>
      <c r="E159" s="125">
        <v>28250777665.604515</v>
      </c>
      <c r="F159" s="125">
        <v>29374538665.090691</v>
      </c>
      <c r="G159" s="125">
        <v>30498299664.576874</v>
      </c>
      <c r="H159" s="125">
        <v>31622060664.063049</v>
      </c>
      <c r="I159" s="125">
        <v>32745821663.549217</v>
      </c>
      <c r="J159" s="125">
        <v>33869582663.035385</v>
      </c>
      <c r="K159" s="125">
        <v>34993343662.521561</v>
      </c>
      <c r="L159" s="97">
        <v>36117104662.007751</v>
      </c>
    </row>
    <row r="160" spans="2:12">
      <c r="B160" s="203"/>
      <c r="C160" s="137">
        <f>C159+4000</f>
        <v>18000</v>
      </c>
      <c r="D160" s="125">
        <v>28891579653.782906</v>
      </c>
      <c r="E160" s="125">
        <v>30015340653.269073</v>
      </c>
      <c r="F160" s="125">
        <v>31139101652.755249</v>
      </c>
      <c r="G160" s="125">
        <v>32262862652.241432</v>
      </c>
      <c r="H160" s="125">
        <v>33386623651.7276</v>
      </c>
      <c r="I160" s="125">
        <v>34510384651.213776</v>
      </c>
      <c r="J160" s="125">
        <v>35634145650.699951</v>
      </c>
      <c r="K160" s="125">
        <v>36757906650.186127</v>
      </c>
      <c r="L160" s="97">
        <v>37881667649.672302</v>
      </c>
    </row>
    <row r="161" spans="2:12">
      <c r="B161" s="203"/>
      <c r="C161" s="137">
        <f t="shared" ref="C161:C167" si="84">C160+4000</f>
        <v>22000</v>
      </c>
      <c r="D161" s="125">
        <v>30656142641.447479</v>
      </c>
      <c r="E161" s="125">
        <v>31779903640.933647</v>
      </c>
      <c r="F161" s="125">
        <v>32903664640.419815</v>
      </c>
      <c r="G161" s="125">
        <v>34027425639.905983</v>
      </c>
      <c r="H161" s="125">
        <v>35151186639.392174</v>
      </c>
      <c r="I161" s="125">
        <v>36274947638.878342</v>
      </c>
      <c r="J161" s="125">
        <v>37398708638.36451</v>
      </c>
      <c r="K161" s="125">
        <v>38522469637.850685</v>
      </c>
      <c r="L161" s="97">
        <v>39646230637.336853</v>
      </c>
    </row>
    <row r="162" spans="2:12">
      <c r="B162" s="203"/>
      <c r="C162" s="137">
        <f t="shared" si="84"/>
        <v>26000</v>
      </c>
      <c r="D162" s="125">
        <v>32420705629.11203</v>
      </c>
      <c r="E162" s="125">
        <v>33544466628.598198</v>
      </c>
      <c r="F162" s="125">
        <v>34668227628.084389</v>
      </c>
      <c r="G162" s="125">
        <v>35791988627.570564</v>
      </c>
      <c r="H162" s="125">
        <v>36915749627.056732</v>
      </c>
      <c r="I162" s="125">
        <v>38039510626.5429</v>
      </c>
      <c r="J162" s="125">
        <v>39163271626.029083</v>
      </c>
      <c r="K162" s="125">
        <v>40287032625.515251</v>
      </c>
      <c r="L162" s="97">
        <v>41410793625.001434</v>
      </c>
    </row>
    <row r="163" spans="2:12">
      <c r="B163" s="203"/>
      <c r="C163" s="137">
        <f t="shared" si="84"/>
        <v>30000</v>
      </c>
      <c r="D163" s="125">
        <v>34185268616.776611</v>
      </c>
      <c r="E163" s="125">
        <v>35309029616.262772</v>
      </c>
      <c r="F163" s="125">
        <v>36432790615.748955</v>
      </c>
      <c r="G163" s="125">
        <v>37556551615.235123</v>
      </c>
      <c r="H163" s="125">
        <v>38680312614.721298</v>
      </c>
      <c r="I163" s="125">
        <v>39804073614.207474</v>
      </c>
      <c r="J163" s="125">
        <v>40927834613.693649</v>
      </c>
      <c r="K163" s="125">
        <v>42051595613.179832</v>
      </c>
      <c r="L163" s="97">
        <v>43175356612.666008</v>
      </c>
    </row>
    <row r="164" spans="2:12">
      <c r="B164" s="203"/>
      <c r="C164" s="137">
        <f t="shared" si="84"/>
        <v>34000</v>
      </c>
      <c r="D164" s="125">
        <v>35949831604.44117</v>
      </c>
      <c r="E164" s="125">
        <v>37073592603.927353</v>
      </c>
      <c r="F164" s="125">
        <v>38197353603.413506</v>
      </c>
      <c r="G164" s="125">
        <v>39321114602.899696</v>
      </c>
      <c r="H164" s="125">
        <v>40444875602.38588</v>
      </c>
      <c r="I164" s="125">
        <v>41568636601.87204</v>
      </c>
      <c r="J164" s="125">
        <v>42692397601.358223</v>
      </c>
      <c r="K164" s="125">
        <v>43816158600.844383</v>
      </c>
      <c r="L164" s="97">
        <v>44939919600.330574</v>
      </c>
    </row>
    <row r="165" spans="2:12">
      <c r="B165" s="203"/>
      <c r="C165" s="137">
        <f t="shared" si="84"/>
        <v>38000</v>
      </c>
      <c r="D165" s="125">
        <v>37714394592.105728</v>
      </c>
      <c r="E165" s="125">
        <v>38838155591.591896</v>
      </c>
      <c r="F165" s="125">
        <v>39961916591.078072</v>
      </c>
      <c r="G165" s="125">
        <v>41085677590.564247</v>
      </c>
      <c r="H165" s="125">
        <v>42209438590.050423</v>
      </c>
      <c r="I165" s="125">
        <v>43333199589.536598</v>
      </c>
      <c r="J165" s="125">
        <v>44456960589.022774</v>
      </c>
      <c r="K165" s="125">
        <v>45580721588.508949</v>
      </c>
      <c r="L165" s="97">
        <v>46704482587.99511</v>
      </c>
    </row>
    <row r="166" spans="2:12">
      <c r="B166" s="203"/>
      <c r="C166" s="137">
        <f t="shared" si="84"/>
        <v>42000</v>
      </c>
      <c r="D166" s="125">
        <v>39478957579.770287</v>
      </c>
      <c r="E166" s="125">
        <v>40602718579.256477</v>
      </c>
      <c r="F166" s="125">
        <v>41726479578.742645</v>
      </c>
      <c r="G166" s="125">
        <v>42850240578.228813</v>
      </c>
      <c r="H166" s="125">
        <v>43974001577.714989</v>
      </c>
      <c r="I166" s="125">
        <v>45097762577.201172</v>
      </c>
      <c r="J166" s="125">
        <v>46221523576.687347</v>
      </c>
      <c r="K166" s="125">
        <v>47345284576.173508</v>
      </c>
      <c r="L166" s="97">
        <v>48469045575.659683</v>
      </c>
    </row>
    <row r="167" spans="2:12">
      <c r="B167" s="203"/>
      <c r="C167" s="137">
        <f t="shared" si="84"/>
        <v>46000</v>
      </c>
      <c r="D167" s="98">
        <v>41243520567.43486</v>
      </c>
      <c r="E167" s="98">
        <v>42367281566.921028</v>
      </c>
      <c r="F167" s="98">
        <v>43491042566.407211</v>
      </c>
      <c r="G167" s="98">
        <v>44614803565.893379</v>
      </c>
      <c r="H167" s="98">
        <v>45738564565.379555</v>
      </c>
      <c r="I167" s="98">
        <v>46862325564.865738</v>
      </c>
      <c r="J167" s="98">
        <v>47986086564.351898</v>
      </c>
      <c r="K167" s="98">
        <v>49109847563.838074</v>
      </c>
      <c r="L167" s="99">
        <v>50233608563.324257</v>
      </c>
    </row>
    <row r="169" spans="2:12">
      <c r="D169" s="5" t="s">
        <v>135</v>
      </c>
    </row>
    <row r="170" spans="2:12">
      <c r="D170" s="5" t="s">
        <v>136</v>
      </c>
    </row>
    <row r="171" spans="2:12">
      <c r="D171" s="5"/>
    </row>
    <row r="172" spans="2:12">
      <c r="D172" s="204" t="s">
        <v>11</v>
      </c>
      <c r="E172" s="204"/>
      <c r="F172" s="204"/>
      <c r="G172" s="204"/>
      <c r="H172" s="204"/>
      <c r="I172" s="204"/>
      <c r="J172" s="204"/>
      <c r="K172" s="204"/>
      <c r="L172" s="204"/>
    </row>
    <row r="173" spans="2:12">
      <c r="B173" s="14" t="s">
        <v>47</v>
      </c>
      <c r="C173" s="135">
        <f>NPVpt</f>
        <v>14256112996.577133</v>
      </c>
      <c r="D173" s="147">
        <v>-0.4</v>
      </c>
      <c r="E173" s="147">
        <f>D173+0.1</f>
        <v>-0.30000000000000004</v>
      </c>
      <c r="F173" s="147">
        <f t="shared" ref="F173:L173" si="85">E173+0.1</f>
        <v>-0.20000000000000004</v>
      </c>
      <c r="G173" s="147">
        <f t="shared" si="85"/>
        <v>-0.10000000000000003</v>
      </c>
      <c r="H173" s="147">
        <f t="shared" si="85"/>
        <v>0</v>
      </c>
      <c r="I173" s="147">
        <f t="shared" si="85"/>
        <v>0.1</v>
      </c>
      <c r="J173" s="147">
        <f t="shared" si="85"/>
        <v>0.2</v>
      </c>
      <c r="K173" s="147">
        <f t="shared" si="85"/>
        <v>0.30000000000000004</v>
      </c>
      <c r="L173" s="147">
        <f t="shared" si="85"/>
        <v>0.4</v>
      </c>
    </row>
    <row r="174" spans="2:12">
      <c r="B174" s="203" t="s">
        <v>12</v>
      </c>
      <c r="C174" s="147">
        <v>-0.4</v>
      </c>
      <c r="D174" s="125">
        <f t="dataTable" ref="D174:L182" dt2D="1" dtr="1" r1="E48" r2="E51"/>
        <v>-2784926576.4425707</v>
      </c>
      <c r="E174" s="125">
        <v>4751612203.9807034</v>
      </c>
      <c r="F174" s="125">
        <v>12288150984.403969</v>
      </c>
      <c r="G174" s="125">
        <v>19824689764.827244</v>
      </c>
      <c r="H174" s="125">
        <v>27361228545.250526</v>
      </c>
      <c r="I174" s="125">
        <v>34897767325.673805</v>
      </c>
      <c r="J174" s="125">
        <v>42434306106.097069</v>
      </c>
      <c r="K174" s="125">
        <v>49970844886.520355</v>
      </c>
      <c r="L174" s="97">
        <v>57507383666.943619</v>
      </c>
    </row>
    <row r="175" spans="2:12">
      <c r="B175" s="203"/>
      <c r="C175" s="147">
        <f>C174+0.1</f>
        <v>-0.30000000000000004</v>
      </c>
      <c r="D175" s="125">
        <v>-6061205463.610919</v>
      </c>
      <c r="E175" s="125">
        <v>1475333316.812355</v>
      </c>
      <c r="F175" s="125">
        <v>9011872097.2356205</v>
      </c>
      <c r="G175" s="125">
        <v>16548410877.658905</v>
      </c>
      <c r="H175" s="125">
        <v>24084949658.08218</v>
      </c>
      <c r="I175" s="125">
        <v>31621488438.505447</v>
      </c>
      <c r="J175" s="125">
        <v>39158027218.928719</v>
      </c>
      <c r="K175" s="125">
        <v>46694565999.351982</v>
      </c>
      <c r="L175" s="97">
        <v>54231104779.775269</v>
      </c>
    </row>
    <row r="176" spans="2:12">
      <c r="B176" s="203"/>
      <c r="C176" s="147">
        <f t="shared" ref="C176:C182" si="86">C175+0.1</f>
        <v>-0.20000000000000004</v>
      </c>
      <c r="D176" s="125">
        <v>-9337484350.7792664</v>
      </c>
      <c r="E176" s="125">
        <v>-1800945570.3559918</v>
      </c>
      <c r="F176" s="125">
        <v>5735593210.067276</v>
      </c>
      <c r="G176" s="125">
        <v>13272131990.490553</v>
      </c>
      <c r="H176" s="125">
        <v>20808670770.913826</v>
      </c>
      <c r="I176" s="125">
        <v>28345209551.337105</v>
      </c>
      <c r="J176" s="125">
        <v>35881748331.760376</v>
      </c>
      <c r="K176" s="125">
        <v>43418287112.18364</v>
      </c>
      <c r="L176" s="97">
        <v>50954825892.606903</v>
      </c>
    </row>
    <row r="177" spans="2:12">
      <c r="B177" s="203"/>
      <c r="C177" s="147">
        <f t="shared" si="86"/>
        <v>-0.10000000000000003</v>
      </c>
      <c r="D177" s="125">
        <v>-12613763237.947611</v>
      </c>
      <c r="E177" s="125">
        <v>-5077224457.5243387</v>
      </c>
      <c r="F177" s="125">
        <v>2459314322.8989277</v>
      </c>
      <c r="G177" s="125">
        <v>9995853103.3222027</v>
      </c>
      <c r="H177" s="125">
        <v>17532391883.74548</v>
      </c>
      <c r="I177" s="125">
        <v>25068930664.168755</v>
      </c>
      <c r="J177" s="125">
        <v>32605469444.592026</v>
      </c>
      <c r="K177" s="125">
        <v>40142008225.015289</v>
      </c>
      <c r="L177" s="97">
        <v>47678547005.438576</v>
      </c>
    </row>
    <row r="178" spans="2:12">
      <c r="B178" s="203"/>
      <c r="C178" s="147">
        <f t="shared" si="86"/>
        <v>0</v>
      </c>
      <c r="D178" s="125">
        <v>-15890042125.115959</v>
      </c>
      <c r="E178" s="125">
        <v>-8353503344.6926918</v>
      </c>
      <c r="F178" s="125">
        <v>-816964564.26942301</v>
      </c>
      <c r="G178" s="125">
        <v>6719574216.1538486</v>
      </c>
      <c r="H178" s="125">
        <v>14256112996.577133</v>
      </c>
      <c r="I178" s="125">
        <v>21792651777.000412</v>
      </c>
      <c r="J178" s="125">
        <v>29329190557.423683</v>
      </c>
      <c r="K178" s="125">
        <v>36865729337.846947</v>
      </c>
      <c r="L178" s="97">
        <v>44402268118.270218</v>
      </c>
    </row>
    <row r="179" spans="2:12">
      <c r="B179" s="203"/>
      <c r="C179" s="147">
        <f t="shared" si="86"/>
        <v>0.1</v>
      </c>
      <c r="D179" s="125">
        <v>-19166321012.284317</v>
      </c>
      <c r="E179" s="125">
        <v>-11629782231.861046</v>
      </c>
      <c r="F179" s="125">
        <v>-4093243451.437777</v>
      </c>
      <c r="G179" s="125">
        <v>3443295328.9854956</v>
      </c>
      <c r="H179" s="125">
        <v>10979834109.408783</v>
      </c>
      <c r="I179" s="125">
        <v>18516372889.832054</v>
      </c>
      <c r="J179" s="125">
        <v>26052911670.255333</v>
      </c>
      <c r="K179" s="125">
        <v>33589450450.678589</v>
      </c>
      <c r="L179" s="97">
        <v>41125989231.101868</v>
      </c>
    </row>
    <row r="180" spans="2:12">
      <c r="B180" s="203"/>
      <c r="C180" s="147">
        <f t="shared" si="86"/>
        <v>0.2</v>
      </c>
      <c r="D180" s="125">
        <v>-22442599899.45266</v>
      </c>
      <c r="E180" s="125">
        <v>-14906061119.02939</v>
      </c>
      <c r="F180" s="125">
        <v>-7369522338.6061201</v>
      </c>
      <c r="G180" s="125">
        <v>167016441.81715155</v>
      </c>
      <c r="H180" s="125">
        <v>7703555222.2404366</v>
      </c>
      <c r="I180" s="125">
        <v>15240094002.663715</v>
      </c>
      <c r="J180" s="125">
        <v>22776632783.086987</v>
      </c>
      <c r="K180" s="125">
        <v>30313171563.510258</v>
      </c>
      <c r="L180" s="97">
        <v>37849710343.933533</v>
      </c>
    </row>
    <row r="181" spans="2:12">
      <c r="B181" s="203"/>
      <c r="C181" s="147">
        <f t="shared" si="86"/>
        <v>0.30000000000000004</v>
      </c>
      <c r="D181" s="125">
        <v>-25718878786.62101</v>
      </c>
      <c r="E181" s="125">
        <v>-18182340006.197739</v>
      </c>
      <c r="F181" s="125">
        <v>-10645801225.774471</v>
      </c>
      <c r="G181" s="125">
        <v>-3109262445.3511963</v>
      </c>
      <c r="H181" s="125">
        <v>4427276335.0720854</v>
      </c>
      <c r="I181" s="125">
        <v>11963815115.495359</v>
      </c>
      <c r="J181" s="125">
        <v>19500353895.918633</v>
      </c>
      <c r="K181" s="125">
        <v>27036892676.341908</v>
      </c>
      <c r="L181" s="97">
        <v>34573431456.765182</v>
      </c>
    </row>
    <row r="182" spans="2:12">
      <c r="B182" s="203"/>
      <c r="C182" s="147">
        <f t="shared" si="86"/>
        <v>0.4</v>
      </c>
      <c r="D182" s="98">
        <v>-28995157673.789352</v>
      </c>
      <c r="E182" s="98">
        <v>-21458618893.366081</v>
      </c>
      <c r="F182" s="98">
        <v>-13922080112.94282</v>
      </c>
      <c r="G182" s="98">
        <v>-6385541332.5195446</v>
      </c>
      <c r="H182" s="98">
        <v>1150997447.9037356</v>
      </c>
      <c r="I182" s="98">
        <v>8687536228.3270111</v>
      </c>
      <c r="J182" s="98">
        <v>16224075008.750282</v>
      </c>
      <c r="K182" s="98">
        <v>23760613789.173557</v>
      </c>
      <c r="L182" s="99">
        <v>31297152569.596817</v>
      </c>
    </row>
    <row r="184" spans="2:12">
      <c r="D184" s="204" t="s">
        <v>11</v>
      </c>
      <c r="E184" s="204"/>
      <c r="F184" s="204"/>
      <c r="G184" s="204"/>
      <c r="H184" s="204"/>
      <c r="I184" s="204"/>
      <c r="J184" s="204"/>
      <c r="K184" s="204"/>
      <c r="L184" s="204"/>
    </row>
    <row r="185" spans="2:12">
      <c r="B185" s="14" t="s">
        <v>48</v>
      </c>
      <c r="C185" s="135">
        <f>C114</f>
        <v>38680312614.721298</v>
      </c>
      <c r="D185" s="147">
        <v>-0.4</v>
      </c>
      <c r="E185" s="147">
        <f t="shared" ref="E185:L185" si="87">D185+0.1</f>
        <v>-0.30000000000000004</v>
      </c>
      <c r="F185" s="147">
        <f t="shared" si="87"/>
        <v>-0.20000000000000004</v>
      </c>
      <c r="G185" s="147">
        <f t="shared" si="87"/>
        <v>-0.10000000000000003</v>
      </c>
      <c r="H185" s="147">
        <f t="shared" si="87"/>
        <v>0</v>
      </c>
      <c r="I185" s="147">
        <f t="shared" si="87"/>
        <v>0.1</v>
      </c>
      <c r="J185" s="147">
        <f t="shared" si="87"/>
        <v>0.2</v>
      </c>
      <c r="K185" s="147">
        <f t="shared" si="87"/>
        <v>0.30000000000000004</v>
      </c>
      <c r="L185" s="147">
        <f t="shared" si="87"/>
        <v>0.4</v>
      </c>
    </row>
    <row r="186" spans="2:12">
      <c r="B186" s="203" t="s">
        <v>12</v>
      </c>
      <c r="C186" s="147">
        <v>-0.4</v>
      </c>
      <c r="D186" s="125">
        <f t="dataTable" ref="D186:L194" dt2D="1" dtr="1" r1="F84" r2="F87"/>
        <v>10271517130.773262</v>
      </c>
      <c r="E186" s="125">
        <v>23553183065.08271</v>
      </c>
      <c r="F186" s="125">
        <v>36834848999.392143</v>
      </c>
      <c r="G186" s="125">
        <v>50116514933.701599</v>
      </c>
      <c r="H186" s="125">
        <v>63398180868.011047</v>
      </c>
      <c r="I186" s="125">
        <v>76679846802.320496</v>
      </c>
      <c r="J186" s="125">
        <v>89961512736.629974</v>
      </c>
      <c r="K186" s="125">
        <v>103243178670.93941</v>
      </c>
      <c r="L186" s="97">
        <v>116524844605.24884</v>
      </c>
    </row>
    <row r="187" spans="2:12">
      <c r="B187" s="203"/>
      <c r="C187" s="147">
        <f>C186+0.1</f>
        <v>-0.30000000000000004</v>
      </c>
      <c r="D187" s="125">
        <v>4092050067.4508247</v>
      </c>
      <c r="E187" s="125">
        <v>17373716001.760273</v>
      </c>
      <c r="F187" s="125">
        <v>30655381936.069702</v>
      </c>
      <c r="G187" s="125">
        <v>43937047870.37915</v>
      </c>
      <c r="H187" s="125">
        <v>57218713804.688614</v>
      </c>
      <c r="I187" s="125">
        <v>70500379738.998047</v>
      </c>
      <c r="J187" s="125">
        <v>83782045673.307541</v>
      </c>
      <c r="K187" s="125">
        <v>97063711607.616928</v>
      </c>
      <c r="L187" s="97">
        <v>110345377541.92641</v>
      </c>
    </row>
    <row r="188" spans="2:12">
      <c r="B188" s="203"/>
      <c r="C188" s="147">
        <f t="shared" ref="C188:C194" si="88">C187+0.1</f>
        <v>-0.20000000000000004</v>
      </c>
      <c r="D188" s="125">
        <v>-2087416995.8716087</v>
      </c>
      <c r="E188" s="125">
        <v>11194248938.437843</v>
      </c>
      <c r="F188" s="125">
        <v>24475914872.747284</v>
      </c>
      <c r="G188" s="125">
        <v>37757580807.056732</v>
      </c>
      <c r="H188" s="125">
        <v>51039246741.366165</v>
      </c>
      <c r="I188" s="125">
        <v>64320912675.675644</v>
      </c>
      <c r="J188" s="125">
        <v>77602578609.985077</v>
      </c>
      <c r="K188" s="125">
        <v>90884244544.294525</v>
      </c>
      <c r="L188" s="97">
        <v>104165910478.60397</v>
      </c>
    </row>
    <row r="189" spans="2:12">
      <c r="B189" s="203"/>
      <c r="C189" s="147">
        <f t="shared" si="88"/>
        <v>-0.10000000000000003</v>
      </c>
      <c r="D189" s="125">
        <v>-8266884059.1940498</v>
      </c>
      <c r="E189" s="125">
        <v>5014781875.1154003</v>
      </c>
      <c r="F189" s="125">
        <v>18296447809.424839</v>
      </c>
      <c r="G189" s="125">
        <v>31578113743.734291</v>
      </c>
      <c r="H189" s="125">
        <v>44859779678.043747</v>
      </c>
      <c r="I189" s="125">
        <v>58141445612.353195</v>
      </c>
      <c r="J189" s="125">
        <v>71423111546.662628</v>
      </c>
      <c r="K189" s="125">
        <v>84704777480.972076</v>
      </c>
      <c r="L189" s="97">
        <v>97986443415.281525</v>
      </c>
    </row>
    <row r="190" spans="2:12">
      <c r="B190" s="203"/>
      <c r="C190" s="147">
        <f t="shared" si="88"/>
        <v>0</v>
      </c>
      <c r="D190" s="125">
        <v>-14446351122.516495</v>
      </c>
      <c r="E190" s="125">
        <v>-1164685188.2070503</v>
      </c>
      <c r="F190" s="125">
        <v>12116980746.102386</v>
      </c>
      <c r="G190" s="125">
        <v>25398646680.411835</v>
      </c>
      <c r="H190" s="125">
        <v>38680312614.721298</v>
      </c>
      <c r="I190" s="125">
        <v>51961978549.030746</v>
      </c>
      <c r="J190" s="125">
        <v>65243644483.340179</v>
      </c>
      <c r="K190" s="125">
        <v>78525310417.649628</v>
      </c>
      <c r="L190" s="97">
        <v>91806976351.959076</v>
      </c>
    </row>
    <row r="191" spans="2:12">
      <c r="B191" s="203"/>
      <c r="C191" s="147">
        <f t="shared" si="88"/>
        <v>0.1</v>
      </c>
      <c r="D191" s="125">
        <v>-20625818185.838936</v>
      </c>
      <c r="E191" s="125">
        <v>-7344152251.5294914</v>
      </c>
      <c r="F191" s="125">
        <v>5937513682.7799454</v>
      </c>
      <c r="G191" s="125">
        <v>19219179617.08939</v>
      </c>
      <c r="H191" s="125">
        <v>32500845551.398865</v>
      </c>
      <c r="I191" s="125">
        <v>45782511485.708305</v>
      </c>
      <c r="J191" s="125">
        <v>59064177420.017746</v>
      </c>
      <c r="K191" s="125">
        <v>72345843354.327194</v>
      </c>
      <c r="L191" s="97">
        <v>85627509288.636658</v>
      </c>
    </row>
    <row r="192" spans="2:12">
      <c r="B192" s="203"/>
      <c r="C192" s="147">
        <f t="shared" si="88"/>
        <v>0.2</v>
      </c>
      <c r="D192" s="125">
        <v>-26805285249.161377</v>
      </c>
      <c r="E192" s="125">
        <v>-13523619314.851933</v>
      </c>
      <c r="F192" s="125">
        <v>-241953380.54249477</v>
      </c>
      <c r="G192" s="125">
        <v>13039712553.766953</v>
      </c>
      <c r="H192" s="125">
        <v>26321378488.076416</v>
      </c>
      <c r="I192" s="125">
        <v>39603044422.385864</v>
      </c>
      <c r="J192" s="125">
        <v>52884710356.695328</v>
      </c>
      <c r="K192" s="125">
        <v>66166376291.004745</v>
      </c>
      <c r="L192" s="97">
        <v>79448042225.314224</v>
      </c>
    </row>
    <row r="193" spans="2:12">
      <c r="B193" s="203"/>
      <c r="C193" s="147">
        <f t="shared" si="88"/>
        <v>0.30000000000000004</v>
      </c>
      <c r="D193" s="125">
        <v>-32984752312.483818</v>
      </c>
      <c r="E193" s="125">
        <v>-19703086378.17437</v>
      </c>
      <c r="F193" s="125">
        <v>-6421420443.8649378</v>
      </c>
      <c r="G193" s="125">
        <v>6860245490.4445114</v>
      </c>
      <c r="H193" s="125">
        <v>20141911424.753971</v>
      </c>
      <c r="I193" s="125">
        <v>33423577359.063431</v>
      </c>
      <c r="J193" s="125">
        <v>46705243293.372871</v>
      </c>
      <c r="K193" s="125">
        <v>59986909227.682335</v>
      </c>
      <c r="L193" s="97">
        <v>73268575161.99176</v>
      </c>
    </row>
    <row r="194" spans="2:12">
      <c r="B194" s="203"/>
      <c r="C194" s="147">
        <f t="shared" si="88"/>
        <v>0.4</v>
      </c>
      <c r="D194" s="98">
        <v>-39164219375.806244</v>
      </c>
      <c r="E194" s="98">
        <v>-25882553441.496815</v>
      </c>
      <c r="F194" s="98">
        <v>-12600887507.187378</v>
      </c>
      <c r="G194" s="98">
        <v>680778427.12207031</v>
      </c>
      <c r="H194" s="98">
        <v>13962444361.43153</v>
      </c>
      <c r="I194" s="98">
        <v>27244110295.74099</v>
      </c>
      <c r="J194" s="98">
        <v>40525776230.05043</v>
      </c>
      <c r="K194" s="98">
        <v>53807442164.359886</v>
      </c>
      <c r="L194" s="99">
        <v>67089108098.669296</v>
      </c>
    </row>
    <row r="197" spans="2:12">
      <c r="D197" s="5" t="s">
        <v>151</v>
      </c>
    </row>
    <row r="198" spans="2:12">
      <c r="D198" s="5" t="s">
        <v>152</v>
      </c>
    </row>
    <row r="199" spans="2:12">
      <c r="D199" s="211" t="s">
        <v>161</v>
      </c>
    </row>
    <row r="200" spans="2:12">
      <c r="D200" s="192" t="s">
        <v>153</v>
      </c>
    </row>
    <row r="201" spans="2:12">
      <c r="D201" s="192" t="s">
        <v>154</v>
      </c>
    </row>
    <row r="202" spans="2:12" ht="15.75" thickBot="1"/>
    <row r="203" spans="2:12">
      <c r="C203" s="183"/>
      <c r="D203" s="184" t="s">
        <v>47</v>
      </c>
      <c r="E203" s="185" t="s">
        <v>48</v>
      </c>
    </row>
    <row r="204" spans="2:12">
      <c r="C204" s="186" t="s">
        <v>11</v>
      </c>
      <c r="D204" s="188">
        <v>-0.326765993838943</v>
      </c>
      <c r="E204" s="189">
        <v>-0.29123088026782534</v>
      </c>
    </row>
    <row r="205" spans="2:12" ht="15.75" thickBot="1">
      <c r="C205" s="187" t="s">
        <v>12</v>
      </c>
      <c r="D205" s="190">
        <v>0.4351312414950893</v>
      </c>
      <c r="E205" s="191">
        <v>0.62594900528403374</v>
      </c>
    </row>
  </sheetData>
  <scenarios current="0" sqref="C115:C116">
    <scenario name="Blue Sky Cenario GR" locked="1" count="3" user="Pedro Carvalho" comment="Created by Pedro Carvalho on 03/12/2020_x000a_Modified by Pedro Carvalho on 03/12/2020">
      <inputCells r="C43" val="0,04" numFmtId="9"/>
      <inputCells r="C42" val="0,1" numFmtId="10"/>
      <inputCells r="K34" val="0,975" numFmtId="164"/>
    </scenario>
    <scenario name="Grey Sky Cenario" locked="1" count="3" user="Pedro Carvalho" comment="Created by Pedro Carvalho on 03/12/2020">
      <inputCells r="C43" val="0,02" numFmtId="9"/>
      <inputCells r="C42" val="0,15" numFmtId="10"/>
      <inputCells r="K34" val="0,8" numFmtId="164"/>
    </scenario>
  </scenarios>
  <mergeCells count="19">
    <mergeCell ref="Z41:AB41"/>
    <mergeCell ref="Z42:AB42"/>
    <mergeCell ref="C43:D43"/>
    <mergeCell ref="Z89:AB89"/>
    <mergeCell ref="Z90:AB90"/>
    <mergeCell ref="B3:K3"/>
    <mergeCell ref="B12:K12"/>
    <mergeCell ref="B18:K18"/>
    <mergeCell ref="B23:K23"/>
    <mergeCell ref="B32:K32"/>
    <mergeCell ref="B36:K36"/>
    <mergeCell ref="B174:B182"/>
    <mergeCell ref="D172:L172"/>
    <mergeCell ref="B186:B194"/>
    <mergeCell ref="D184:L184"/>
    <mergeCell ref="B147:B155"/>
    <mergeCell ref="D157:L157"/>
    <mergeCell ref="B159:B167"/>
    <mergeCell ref="D145:L1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CEC6-7E7C-4192-A2A5-015FD831AEA6}">
  <sheetPr>
    <tabColor theme="4" tint="0.59999389629810485"/>
    <outlinePr summaryBelow="0"/>
  </sheetPr>
  <dimension ref="B1:L17"/>
  <sheetViews>
    <sheetView showGridLines="0" workbookViewId="0">
      <selection activeCell="E16" sqref="E16"/>
    </sheetView>
  </sheetViews>
  <sheetFormatPr defaultRowHeight="15" outlineLevelRow="1" outlineLevelCol="1"/>
  <cols>
    <col min="2" max="2" width="24.85546875" customWidth="1"/>
    <col min="3" max="3" width="8.5703125" bestFit="1" customWidth="1"/>
    <col min="4" max="4" width="14.28515625" bestFit="1" customWidth="1" outlineLevel="1"/>
    <col min="5" max="5" width="14.85546875" bestFit="1" customWidth="1" outlineLevel="1"/>
    <col min="6" max="6" width="15" bestFit="1" customWidth="1" outlineLevel="1"/>
    <col min="8" max="8" width="24.85546875" customWidth="1"/>
    <col min="9" max="9" width="7.140625" bestFit="1" customWidth="1"/>
    <col min="10" max="10" width="16.7109375" bestFit="1" customWidth="1"/>
    <col min="11" max="11" width="14.85546875" bestFit="1" customWidth="1"/>
    <col min="12" max="12" width="15" bestFit="1" customWidth="1"/>
  </cols>
  <sheetData>
    <row r="1" spans="2:12" ht="15.75" thickBot="1"/>
    <row r="2" spans="2:12" ht="15.75">
      <c r="B2" s="141" t="s">
        <v>127</v>
      </c>
      <c r="C2" s="141"/>
      <c r="D2" s="117"/>
      <c r="E2" s="117"/>
      <c r="F2" s="117"/>
      <c r="H2" s="141" t="s">
        <v>132</v>
      </c>
      <c r="I2" s="141"/>
      <c r="J2" s="117"/>
      <c r="K2" s="117"/>
      <c r="L2" s="117"/>
    </row>
    <row r="3" spans="2:12" ht="15.75" collapsed="1">
      <c r="B3" s="140"/>
      <c r="C3" s="140"/>
      <c r="D3" s="118" t="s">
        <v>87</v>
      </c>
      <c r="E3" s="118" t="s">
        <v>28</v>
      </c>
      <c r="F3" s="118" t="s">
        <v>30</v>
      </c>
      <c r="H3" s="140"/>
      <c r="I3" s="140"/>
      <c r="J3" s="118" t="s">
        <v>87</v>
      </c>
      <c r="K3" s="118" t="s">
        <v>28</v>
      </c>
      <c r="L3" s="118" t="s">
        <v>30</v>
      </c>
    </row>
    <row r="4" spans="2:12" ht="67.5" hidden="1" outlineLevel="1">
      <c r="B4" s="142"/>
      <c r="C4" s="142"/>
      <c r="D4" s="110"/>
      <c r="E4" s="122" t="s">
        <v>128</v>
      </c>
      <c r="F4" s="122" t="s">
        <v>128</v>
      </c>
      <c r="H4" s="142"/>
      <c r="I4" s="142"/>
      <c r="J4" s="110"/>
      <c r="K4" s="122" t="s">
        <v>131</v>
      </c>
      <c r="L4" s="122" t="s">
        <v>128</v>
      </c>
    </row>
    <row r="5" spans="2:12">
      <c r="B5" s="143" t="s">
        <v>86</v>
      </c>
      <c r="C5" s="143"/>
      <c r="D5" s="116"/>
      <c r="E5" s="116"/>
      <c r="F5" s="116"/>
      <c r="H5" s="143" t="s">
        <v>86</v>
      </c>
      <c r="I5" s="143"/>
      <c r="J5" s="116"/>
      <c r="K5" s="116"/>
      <c r="L5" s="116"/>
    </row>
    <row r="6" spans="2:12" outlineLevel="1">
      <c r="B6" s="142" t="s">
        <v>70</v>
      </c>
      <c r="C6" s="142"/>
      <c r="D6" s="112">
        <v>0.03</v>
      </c>
      <c r="E6" s="120">
        <v>0.04</v>
      </c>
      <c r="F6" s="120">
        <v>0.02</v>
      </c>
      <c r="H6" s="142" t="s">
        <v>70</v>
      </c>
      <c r="I6" s="142"/>
      <c r="J6" s="112">
        <v>0.03</v>
      </c>
      <c r="K6" s="120">
        <v>0.04</v>
      </c>
      <c r="L6" s="120">
        <v>0.02</v>
      </c>
    </row>
    <row r="7" spans="2:12" outlineLevel="1">
      <c r="B7" s="142" t="s">
        <v>15</v>
      </c>
      <c r="C7" s="142"/>
      <c r="D7" s="111">
        <v>0.1242</v>
      </c>
      <c r="E7" s="119">
        <v>0.1</v>
      </c>
      <c r="F7" s="119">
        <v>0.15</v>
      </c>
      <c r="H7" s="142" t="s">
        <v>15</v>
      </c>
      <c r="I7" s="142"/>
      <c r="J7" s="111">
        <v>0.1242</v>
      </c>
      <c r="K7" s="119">
        <v>0.1</v>
      </c>
      <c r="L7" s="119">
        <v>0.15</v>
      </c>
    </row>
    <row r="8" spans="2:12" outlineLevel="1">
      <c r="B8" s="142" t="s">
        <v>129</v>
      </c>
      <c r="C8" s="142"/>
      <c r="D8" s="113">
        <v>0.95</v>
      </c>
      <c r="E8" s="121">
        <v>0.97499999999999998</v>
      </c>
      <c r="F8" s="121">
        <v>0.8</v>
      </c>
      <c r="H8" s="142" t="s">
        <v>129</v>
      </c>
      <c r="I8" s="142"/>
      <c r="J8" s="113">
        <v>0.95</v>
      </c>
      <c r="K8" s="121">
        <v>0.97499999999999998</v>
      </c>
      <c r="L8" s="121">
        <v>0.8</v>
      </c>
    </row>
    <row r="9" spans="2:12">
      <c r="B9" s="143" t="s">
        <v>88</v>
      </c>
      <c r="C9" s="143"/>
      <c r="D9" s="116"/>
      <c r="E9" s="116"/>
      <c r="F9" s="116"/>
      <c r="H9" s="143" t="s">
        <v>88</v>
      </c>
      <c r="I9" s="143"/>
      <c r="J9" s="116"/>
      <c r="K9" s="116"/>
      <c r="L9" s="116"/>
    </row>
    <row r="10" spans="2:12" outlineLevel="1">
      <c r="B10" s="142" t="s">
        <v>22</v>
      </c>
      <c r="C10" s="142"/>
      <c r="D10" s="114">
        <v>14256112996.577101</v>
      </c>
      <c r="E10" s="114">
        <v>21819439224.095299</v>
      </c>
      <c r="F10" s="114">
        <v>7132527243.3322496</v>
      </c>
      <c r="H10" s="142" t="s">
        <v>22</v>
      </c>
      <c r="I10" s="142"/>
      <c r="J10" s="114">
        <v>38680312614.721298</v>
      </c>
      <c r="K10" s="114">
        <v>57074868208.170898</v>
      </c>
      <c r="L10" s="114">
        <v>22476420135.164398</v>
      </c>
    </row>
    <row r="11" spans="2:12" ht="15.75" outlineLevel="1" thickBot="1">
      <c r="B11" s="144" t="s">
        <v>130</v>
      </c>
      <c r="C11" s="144"/>
      <c r="D11" s="115">
        <v>0.25655563150178701</v>
      </c>
      <c r="E11" s="115">
        <v>0.261640557323505</v>
      </c>
      <c r="F11" s="115">
        <v>0.238326753246448</v>
      </c>
      <c r="H11" s="144" t="s">
        <v>130</v>
      </c>
      <c r="I11" s="144"/>
      <c r="J11" s="115">
        <v>0.28988789869801501</v>
      </c>
      <c r="K11" s="115">
        <v>0.29429633817414802</v>
      </c>
      <c r="L11" s="115">
        <v>0.27626116976611398</v>
      </c>
    </row>
    <row r="12" spans="2:12">
      <c r="B12" t="s">
        <v>89</v>
      </c>
      <c r="H12" s="1" t="s">
        <v>89</v>
      </c>
      <c r="I12" s="1"/>
      <c r="J12" s="1"/>
      <c r="K12" s="1"/>
      <c r="L12" s="1"/>
    </row>
    <row r="13" spans="2:12">
      <c r="B13" t="s">
        <v>90</v>
      </c>
      <c r="H13" s="1" t="s">
        <v>90</v>
      </c>
      <c r="I13" s="1"/>
      <c r="J13" s="1"/>
      <c r="K13" s="1"/>
      <c r="L13" s="1"/>
    </row>
    <row r="14" spans="2:12">
      <c r="B14" t="s">
        <v>91</v>
      </c>
      <c r="H14" s="1" t="s">
        <v>91</v>
      </c>
      <c r="I14" s="1"/>
      <c r="J14" s="1"/>
      <c r="K14" s="1"/>
      <c r="L14" s="1"/>
    </row>
    <row r="17" spans="2:2">
      <c r="B17"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PS2 Guidelines</vt:lpstr>
      <vt:lpstr>Projects</vt:lpstr>
      <vt:lpstr>Sensitivity - Ex4</vt:lpstr>
      <vt:lpstr>Scenarios - Ex5</vt:lpstr>
      <vt:lpstr>'Sensitivity - Ex4'!g</vt:lpstr>
      <vt:lpstr>g</vt:lpstr>
      <vt:lpstr>IRRpt</vt:lpstr>
      <vt:lpstr>'Sensitivity - Ex4'!NPVpt</vt:lpstr>
      <vt:lpstr>NPVpt</vt:lpstr>
      <vt:lpstr>'Sensitivity - Ex4'!tax</vt:lpstr>
      <vt:lpstr>tax</vt:lpstr>
      <vt:lpstr>'Sensitivity - Ex4'!UsagePT</vt:lpstr>
      <vt:lpstr>UsagePT</vt:lpstr>
      <vt:lpstr>'Sensitivity - Ex4'!wacc</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FILIPE CARVALHO</dc:creator>
  <cp:lastModifiedBy>Pedro Carvalho</cp:lastModifiedBy>
  <cp:lastPrinted>2020-12-03T22:09:29Z</cp:lastPrinted>
  <dcterms:created xsi:type="dcterms:W3CDTF">2020-03-03T14:30:15Z</dcterms:created>
  <dcterms:modified xsi:type="dcterms:W3CDTF">2020-12-14T22:13:48Z</dcterms:modified>
</cp:coreProperties>
</file>