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Barros\Dropbox\5. Assistant Professor ISEG\1. GF (Gestão Financeira)\7. GF (Spring 2020)\Problem Sets Evaluation\PS 1\"/>
    </mc:Choice>
  </mc:AlternateContent>
  <xr:revisionPtr revIDLastSave="0" documentId="13_ncr:1_{5BD3F40F-56F1-4A89-8E74-6A0B10190947}" xr6:coauthVersionLast="45" xr6:coauthVersionMax="45" xr10:uidLastSave="{00000000-0000-0000-0000-000000000000}"/>
  <bookViews>
    <workbookView xWindow="-120" yWindow="-120" windowWidth="29040" windowHeight="15840" xr2:uid="{DD45CF52-CD4E-4DCB-9AB1-23EDA4384408}"/>
  </bookViews>
  <sheets>
    <sheet name="Guidelines" sheetId="5" r:id="rId1"/>
    <sheet name="Financial Statements" sheetId="1" r:id="rId2"/>
    <sheet name="Ratios" sheetId="2" r:id="rId3"/>
    <sheet name="Question 4" sheetId="4" r:id="rId4"/>
  </sheets>
  <definedNames>
    <definedName name="_xlnm.Print_Area" localSheetId="1">'Financial Statements'!$A$1:$D$101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B55" i="2"/>
  <c r="C37" i="2" l="1"/>
  <c r="B37" i="2"/>
  <c r="C39" i="2"/>
  <c r="C36" i="2"/>
  <c r="B36" i="2"/>
  <c r="B39" i="2"/>
  <c r="C52" i="2"/>
  <c r="C43" i="2" s="1"/>
  <c r="B52" i="2"/>
  <c r="B43" i="2" s="1"/>
  <c r="B47" i="2"/>
  <c r="C53" i="2"/>
  <c r="C47" i="2"/>
  <c r="B53" i="2"/>
  <c r="C27" i="2"/>
  <c r="C26" i="2" s="1"/>
  <c r="C25" i="2"/>
  <c r="C24" i="2" s="1"/>
  <c r="C23" i="2"/>
  <c r="C21" i="2"/>
  <c r="C20" i="2"/>
  <c r="C42" i="2" s="1"/>
  <c r="B27" i="2"/>
  <c r="B26" i="2" s="1"/>
  <c r="B25" i="2"/>
  <c r="B24" i="2" s="1"/>
  <c r="B23" i="2"/>
  <c r="B22" i="2" s="1"/>
  <c r="B21" i="2"/>
  <c r="B20" i="2"/>
  <c r="B42" i="2" s="1"/>
  <c r="C17" i="2"/>
  <c r="C16" i="2"/>
  <c r="C15" i="2"/>
  <c r="B17" i="2"/>
  <c r="C35" i="2"/>
  <c r="C41" i="2" s="1"/>
  <c r="C34" i="2"/>
  <c r="C33" i="2"/>
  <c r="C32" i="2"/>
  <c r="B35" i="2"/>
  <c r="B41" i="2" s="1"/>
  <c r="B34" i="2"/>
  <c r="B33" i="2"/>
  <c r="B32" i="2"/>
  <c r="D73" i="1"/>
  <c r="D78" i="1" s="1"/>
  <c r="D82" i="1" s="1"/>
  <c r="D85" i="1" s="1"/>
  <c r="D87" i="1" s="1"/>
  <c r="C73" i="1"/>
  <c r="C78" i="1" s="1"/>
  <c r="C82" i="1" s="1"/>
  <c r="C85" i="1" s="1"/>
  <c r="C87" i="1" s="1"/>
  <c r="D71" i="1"/>
  <c r="C71" i="1"/>
  <c r="C10" i="2"/>
  <c r="C50" i="2" s="1"/>
  <c r="B10" i="2"/>
  <c r="B50" i="2" s="1"/>
  <c r="C9" i="2"/>
  <c r="C12" i="2" s="1"/>
  <c r="B9" i="2"/>
  <c r="B12" i="2" s="1"/>
  <c r="D101" i="1"/>
  <c r="C101" i="1"/>
  <c r="D59" i="1"/>
  <c r="C4" i="2" s="1"/>
  <c r="C59" i="1"/>
  <c r="D48" i="1"/>
  <c r="C48" i="1"/>
  <c r="C61" i="1" s="1"/>
  <c r="D36" i="1"/>
  <c r="D38" i="1" s="1"/>
  <c r="C8" i="2" s="1"/>
  <c r="C36" i="1"/>
  <c r="C38" i="1" s="1"/>
  <c r="B8" i="2" s="1"/>
  <c r="D27" i="1"/>
  <c r="C27" i="1"/>
  <c r="B15" i="2" s="1"/>
  <c r="D16" i="1"/>
  <c r="C16" i="1"/>
  <c r="B44" i="2" l="1"/>
  <c r="C44" i="2"/>
  <c r="B38" i="2"/>
  <c r="C38" i="2"/>
  <c r="B48" i="2"/>
  <c r="C48" i="2"/>
  <c r="C49" i="2"/>
  <c r="C28" i="2"/>
  <c r="C29" i="2" s="1"/>
  <c r="C11" i="2"/>
  <c r="C51" i="2" s="1"/>
  <c r="B28" i="2"/>
  <c r="B29" i="2" s="1"/>
  <c r="B49" i="2"/>
  <c r="C22" i="2"/>
  <c r="B11" i="2"/>
  <c r="B51" i="2" s="1"/>
  <c r="B5" i="2"/>
  <c r="B16" i="2"/>
  <c r="B4" i="2"/>
  <c r="C5" i="2"/>
  <c r="D29" i="1"/>
  <c r="C29" i="1"/>
  <c r="D61" i="1"/>
  <c r="C63" i="1"/>
  <c r="D63" i="1"/>
</calcChain>
</file>

<file path=xl/sharedStrings.xml><?xml version="1.0" encoding="utf-8"?>
<sst xmlns="http://schemas.openxmlformats.org/spreadsheetml/2006/main" count="248" uniqueCount="214">
  <si>
    <t>Notes</t>
  </si>
  <si>
    <t>Assets</t>
  </si>
  <si>
    <r>
      <rPr>
        <sz val="10"/>
        <color rgb="FF231F20"/>
        <rFont val="Calibri"/>
        <family val="2"/>
        <scheme val="minor"/>
      </rPr>
      <t>Non-current assets</t>
    </r>
  </si>
  <si>
    <r>
      <rPr>
        <sz val="10"/>
        <color rgb="FF231F20"/>
        <rFont val="Calibri"/>
        <family val="2"/>
        <scheme val="minor"/>
      </rPr>
      <t>Biological assets</t>
    </r>
  </si>
  <si>
    <r>
      <rPr>
        <sz val="10"/>
        <color rgb="FF231F20"/>
        <rFont val="Calibri"/>
        <family val="2"/>
        <scheme val="minor"/>
      </rPr>
      <t>Property, plant and equipment</t>
    </r>
  </si>
  <si>
    <r>
      <rPr>
        <sz val="10"/>
        <color rgb="FF231F20"/>
        <rFont val="Calibri"/>
        <family val="2"/>
        <scheme val="minor"/>
      </rPr>
      <t>Investment properties</t>
    </r>
  </si>
  <si>
    <r>
      <rPr>
        <sz val="10"/>
        <color rgb="FF231F20"/>
        <rFont val="Calibri"/>
        <family val="2"/>
        <scheme val="minor"/>
      </rPr>
      <t>Goodwill</t>
    </r>
  </si>
  <si>
    <r>
      <rPr>
        <sz val="10"/>
        <color rgb="FF231F20"/>
        <rFont val="Calibri"/>
        <family val="2"/>
        <scheme val="minor"/>
      </rPr>
      <t>Intangible assets</t>
    </r>
  </si>
  <si>
    <r>
      <rPr>
        <sz val="10"/>
        <color rgb="FF231F20"/>
        <rFont val="Calibri"/>
        <family val="2"/>
        <scheme val="minor"/>
      </rPr>
      <t>Investments in associated companies and joint ventures</t>
    </r>
  </si>
  <si>
    <r>
      <rPr>
        <sz val="10"/>
        <color rgb="FF231F20"/>
        <rFont val="Calibri"/>
        <family val="2"/>
        <scheme val="minor"/>
      </rPr>
      <t>Investments available for sale</t>
    </r>
  </si>
  <si>
    <r>
      <rPr>
        <sz val="10"/>
        <color rgb="FF231F20"/>
        <rFont val="Calibri"/>
        <family val="2"/>
        <scheme val="minor"/>
      </rPr>
      <t>-</t>
    </r>
  </si>
  <si>
    <r>
      <rPr>
        <sz val="10"/>
        <color rgb="FF231F20"/>
        <rFont val="Calibri"/>
        <family val="2"/>
        <scheme val="minor"/>
      </rPr>
      <t>Other financial investments</t>
    </r>
  </si>
  <si>
    <r>
      <rPr>
        <sz val="10"/>
        <color rgb="FF231F20"/>
        <rFont val="Calibri"/>
        <family val="2"/>
        <scheme val="minor"/>
      </rPr>
      <t>Other non-current assets</t>
    </r>
  </si>
  <si>
    <r>
      <rPr>
        <sz val="10"/>
        <color rgb="FF231F20"/>
        <rFont val="Calibri"/>
        <family val="2"/>
        <scheme val="minor"/>
      </rPr>
      <t>Derivatives</t>
    </r>
  </si>
  <si>
    <r>
      <rPr>
        <sz val="10"/>
        <color rgb="FF231F20"/>
        <rFont val="Calibri"/>
        <family val="2"/>
        <scheme val="minor"/>
      </rPr>
      <t>Deferred tax assets</t>
    </r>
  </si>
  <si>
    <r>
      <rPr>
        <b/>
        <sz val="10"/>
        <color rgb="FF231F20"/>
        <rFont val="Calibri"/>
        <family val="2"/>
        <scheme val="minor"/>
      </rPr>
      <t>Total non-current assets</t>
    </r>
  </si>
  <si>
    <r>
      <rPr>
        <sz val="10"/>
        <color rgb="FF231F20"/>
        <rFont val="Calibri"/>
        <family val="2"/>
        <scheme val="minor"/>
      </rPr>
      <t>Current assets</t>
    </r>
  </si>
  <si>
    <r>
      <rPr>
        <sz val="10"/>
        <color rgb="FF231F20"/>
        <rFont val="Calibri"/>
        <family val="2"/>
        <scheme val="minor"/>
      </rPr>
      <t>Inventories</t>
    </r>
  </si>
  <si>
    <r>
      <rPr>
        <sz val="10"/>
        <color rgb="FF231F20"/>
        <rFont val="Calibri"/>
        <family val="2"/>
        <scheme val="minor"/>
      </rPr>
      <t>Trade receivables</t>
    </r>
  </si>
  <si>
    <r>
      <rPr>
        <sz val="10"/>
        <color rgb="FF231F20"/>
        <rFont val="Calibri"/>
        <family val="2"/>
        <scheme val="minor"/>
      </rPr>
      <t>Contract assets</t>
    </r>
  </si>
  <si>
    <r>
      <rPr>
        <sz val="10"/>
        <color rgb="FF231F20"/>
        <rFont val="Calibri"/>
        <family val="2"/>
        <scheme val="minor"/>
      </rPr>
      <t>Other financial assets</t>
    </r>
  </si>
  <si>
    <r>
      <rPr>
        <sz val="10"/>
        <color rgb="FF231F20"/>
        <rFont val="Calibri"/>
        <family val="2"/>
        <scheme val="minor"/>
      </rPr>
      <t>Income tax receivable</t>
    </r>
  </si>
  <si>
    <r>
      <rPr>
        <sz val="10"/>
        <color rgb="FF231F20"/>
        <rFont val="Calibri"/>
        <family val="2"/>
        <scheme val="minor"/>
      </rPr>
      <t>Other assets</t>
    </r>
  </si>
  <si>
    <r>
      <rPr>
        <sz val="10"/>
        <color rgb="FF231F20"/>
        <rFont val="Calibri"/>
        <family val="2"/>
        <scheme val="minor"/>
      </rPr>
      <t>Cash and banks</t>
    </r>
  </si>
  <si>
    <r>
      <rPr>
        <b/>
        <sz val="10"/>
        <color rgb="FF231F20"/>
        <rFont val="Calibri"/>
        <family val="2"/>
        <scheme val="minor"/>
      </rPr>
      <t>Total assets</t>
    </r>
  </si>
  <si>
    <t>Equity</t>
  </si>
  <si>
    <r>
      <rPr>
        <sz val="10"/>
        <color rgb="FF231F20"/>
        <rFont val="Calibri"/>
        <family val="2"/>
        <scheme val="minor"/>
      </rPr>
      <t>Share capital</t>
    </r>
  </si>
  <si>
    <r>
      <rPr>
        <sz val="10"/>
        <color rgb="FF231F20"/>
        <rFont val="Calibri"/>
        <family val="2"/>
        <scheme val="minor"/>
      </rPr>
      <t>Legal reserve</t>
    </r>
  </si>
  <si>
    <r>
      <rPr>
        <sz val="10"/>
        <color rgb="FF231F20"/>
        <rFont val="Calibri"/>
        <family val="2"/>
        <scheme val="minor"/>
      </rPr>
      <t>Other reserves</t>
    </r>
  </si>
  <si>
    <r>
      <rPr>
        <sz val="10"/>
        <color rgb="FF231F20"/>
        <rFont val="Calibri"/>
        <family val="2"/>
        <scheme val="minor"/>
      </rPr>
      <t>Consolidated net profit / (loss)</t>
    </r>
  </si>
  <si>
    <r>
      <rPr>
        <sz val="10"/>
        <color rgb="FF231F20"/>
        <rFont val="Calibri"/>
        <family val="2"/>
        <scheme val="minor"/>
      </rPr>
      <t>Total equity attributable to the equity holders of the parent</t>
    </r>
  </si>
  <si>
    <r>
      <rPr>
        <sz val="10"/>
        <color rgb="FF231F20"/>
        <rFont val="Calibri"/>
        <family val="2"/>
        <scheme val="minor"/>
      </rPr>
      <t>Non-controlling interests</t>
    </r>
  </si>
  <si>
    <r>
      <rPr>
        <b/>
        <sz val="10"/>
        <color rgb="FF231F20"/>
        <rFont val="Calibri"/>
        <family val="2"/>
        <scheme val="minor"/>
      </rPr>
      <t>Total equity</t>
    </r>
  </si>
  <si>
    <t>Liabilities</t>
  </si>
  <si>
    <t>Non-current liabilities</t>
  </si>
  <si>
    <r>
      <rPr>
        <sz val="10"/>
        <color rgb="FF231F20"/>
        <rFont val="Calibri"/>
        <family val="2"/>
        <scheme val="minor"/>
      </rPr>
      <t>Bank loans</t>
    </r>
  </si>
  <si>
    <r>
      <rPr>
        <sz val="10"/>
        <color rgb="FF231F20"/>
        <rFont val="Calibri"/>
        <family val="2"/>
        <scheme val="minor"/>
      </rPr>
      <t>Other loans</t>
    </r>
  </si>
  <si>
    <r>
      <rPr>
        <sz val="10"/>
        <color rgb="FF231F20"/>
        <rFont val="Calibri"/>
        <family val="2"/>
        <scheme val="minor"/>
      </rPr>
      <t>Reimbursable government grants</t>
    </r>
  </si>
  <si>
    <r>
      <rPr>
        <sz val="10"/>
        <color rgb="FF231F20"/>
        <rFont val="Calibri"/>
        <family val="2"/>
        <scheme val="minor"/>
      </rPr>
      <t>Other non current liabilities</t>
    </r>
  </si>
  <si>
    <r>
      <rPr>
        <sz val="10"/>
        <color rgb="FF231F20"/>
        <rFont val="Calibri"/>
        <family val="2"/>
        <scheme val="minor"/>
      </rPr>
      <t>Deferred tax liabilities</t>
    </r>
  </si>
  <si>
    <r>
      <rPr>
        <sz val="10"/>
        <color rgb="FF231F20"/>
        <rFont val="Calibri"/>
        <family val="2"/>
        <scheme val="minor"/>
      </rPr>
      <t>Pension liabilities</t>
    </r>
  </si>
  <si>
    <r>
      <rPr>
        <sz val="10"/>
        <color rgb="FF231F20"/>
        <rFont val="Calibri"/>
        <family val="2"/>
        <scheme val="minor"/>
      </rPr>
      <t>Provisions</t>
    </r>
  </si>
  <si>
    <r>
      <rPr>
        <b/>
        <sz val="10"/>
        <color rgb="FF231F20"/>
        <rFont val="Calibri"/>
        <family val="2"/>
        <scheme val="minor"/>
      </rPr>
      <t>Total non-current liabilities</t>
    </r>
  </si>
  <si>
    <r>
      <rPr>
        <sz val="10"/>
        <color rgb="FF231F20"/>
        <rFont val="Calibri"/>
        <family val="2"/>
        <scheme val="minor"/>
      </rPr>
      <t>Current liabilities</t>
    </r>
  </si>
  <si>
    <r>
      <rPr>
        <sz val="10"/>
        <color rgb="FF231F20"/>
        <rFont val="Calibri"/>
        <family val="2"/>
        <scheme val="minor"/>
      </rPr>
      <t>Trade payables</t>
    </r>
  </si>
  <si>
    <r>
      <rPr>
        <sz val="10"/>
        <color rgb="FF231F20"/>
        <rFont val="Calibri"/>
        <family val="2"/>
        <scheme val="minor"/>
      </rPr>
      <t>Contract liabilities</t>
    </r>
  </si>
  <si>
    <r>
      <rPr>
        <sz val="10"/>
        <color rgb="FF231F20"/>
        <rFont val="Calibri"/>
        <family val="2"/>
        <scheme val="minor"/>
      </rPr>
      <t>Other financial liabilities</t>
    </r>
  </si>
  <si>
    <r>
      <rPr>
        <sz val="10"/>
        <color rgb="FF231F20"/>
        <rFont val="Calibri"/>
        <family val="2"/>
        <scheme val="minor"/>
      </rPr>
      <t>Income tax payable</t>
    </r>
  </si>
  <si>
    <r>
      <rPr>
        <sz val="10"/>
        <color rgb="FF231F20"/>
        <rFont val="Calibri"/>
        <family val="2"/>
        <scheme val="minor"/>
      </rPr>
      <t>Other liabilities</t>
    </r>
  </si>
  <si>
    <r>
      <rPr>
        <b/>
        <sz val="10"/>
        <color rgb="FF231F20"/>
        <rFont val="Calibri"/>
        <family val="2"/>
        <scheme val="minor"/>
      </rPr>
      <t>Total current liabilities</t>
    </r>
  </si>
  <si>
    <t>Total liabilities</t>
  </si>
  <si>
    <r>
      <rPr>
        <b/>
        <sz val="10"/>
        <color rgb="FF231F20"/>
        <rFont val="Calibri"/>
        <family val="2"/>
        <scheme val="minor"/>
      </rPr>
      <t>Total shareholders’ funds and liabilities</t>
    </r>
  </si>
  <si>
    <r>
      <rPr>
        <sz val="10"/>
        <color rgb="FF231F20"/>
        <rFont val="Calibri"/>
        <family val="2"/>
        <scheme val="minor"/>
      </rPr>
      <t>Sales</t>
    </r>
  </si>
  <si>
    <r>
      <rPr>
        <sz val="10"/>
        <color rgb="FF231F20"/>
        <rFont val="Calibri"/>
        <family val="2"/>
        <scheme val="minor"/>
      </rPr>
      <t>Services rendered</t>
    </r>
  </si>
  <si>
    <r>
      <rPr>
        <sz val="10"/>
        <color rgb="FF231F20"/>
        <rFont val="Calibri"/>
        <family val="2"/>
        <scheme val="minor"/>
      </rPr>
      <t>Other income</t>
    </r>
  </si>
  <si>
    <r>
      <rPr>
        <sz val="10"/>
        <color rgb="FF231F20"/>
        <rFont val="Calibri"/>
        <family val="2"/>
        <scheme val="minor"/>
      </rPr>
      <t>Cost of sales</t>
    </r>
  </si>
  <si>
    <t>Gross Margin</t>
  </si>
  <si>
    <r>
      <rPr>
        <sz val="10"/>
        <color rgb="FF231F20"/>
        <rFont val="Calibri"/>
        <family val="2"/>
        <scheme val="minor"/>
      </rPr>
      <t>External supplies and services</t>
    </r>
  </si>
  <si>
    <r>
      <rPr>
        <sz val="10"/>
        <color rgb="FF231F20"/>
        <rFont val="Calibri"/>
        <family val="2"/>
        <scheme val="minor"/>
      </rPr>
      <t>Payroll expenses</t>
    </r>
  </si>
  <si>
    <r>
      <rPr>
        <sz val="10"/>
        <color rgb="FF231F20"/>
        <rFont val="Calibri"/>
        <family val="2"/>
        <scheme val="minor"/>
      </rPr>
      <t>Other costs</t>
    </r>
  </si>
  <si>
    <t>Operating costs</t>
  </si>
  <si>
    <r>
      <rPr>
        <sz val="10"/>
        <color rgb="FF231F20"/>
        <rFont val="Calibri"/>
        <family val="2"/>
        <scheme val="minor"/>
      </rPr>
      <t>Gains / (losses) in investments</t>
    </r>
  </si>
  <si>
    <t>Investments in associated companies and joint ventures - related to Altri's core business</t>
  </si>
  <si>
    <t>EBITDA</t>
  </si>
  <si>
    <r>
      <rPr>
        <sz val="10"/>
        <color rgb="FF231F20"/>
        <rFont val="Calibri"/>
        <family val="2"/>
        <scheme val="minor"/>
      </rPr>
      <t>Amortisation and depreciation</t>
    </r>
  </si>
  <si>
    <r>
      <rPr>
        <sz val="10"/>
        <color rgb="FF231F20"/>
        <rFont val="Calibri"/>
        <family val="2"/>
        <scheme val="minor"/>
      </rPr>
      <t>Fair value changes in biological assets</t>
    </r>
  </si>
  <si>
    <t>Impairments &amp; reversals in biological assets</t>
  </si>
  <si>
    <r>
      <rPr>
        <sz val="10"/>
        <color rgb="FF231F20"/>
        <rFont val="Calibri"/>
        <family val="2"/>
        <scheme val="minor"/>
      </rPr>
      <t>Provisions and impairment losses</t>
    </r>
  </si>
  <si>
    <t>EBIT</t>
  </si>
  <si>
    <r>
      <rPr>
        <sz val="10"/>
        <color rgb="FF231F20"/>
        <rFont val="Calibri"/>
        <family val="2"/>
        <scheme val="minor"/>
      </rPr>
      <t>Financial expenses</t>
    </r>
  </si>
  <si>
    <r>
      <rPr>
        <sz val="10"/>
        <color rgb="FF231F20"/>
        <rFont val="Calibri"/>
        <family val="2"/>
        <scheme val="minor"/>
      </rPr>
      <t>Financial income</t>
    </r>
  </si>
  <si>
    <t>EBT</t>
  </si>
  <si>
    <r>
      <rPr>
        <sz val="10"/>
        <color rgb="FF231F20"/>
        <rFont val="Calibri"/>
        <family val="2"/>
        <scheme val="minor"/>
      </rPr>
      <t>Income tax</t>
    </r>
  </si>
  <si>
    <r>
      <rPr>
        <sz val="10"/>
        <color rgb="FF231F20"/>
        <rFont val="Calibri"/>
        <family val="2"/>
        <scheme val="minor"/>
      </rPr>
      <t>Attributable to:</t>
    </r>
  </si>
  <si>
    <r>
      <rPr>
        <sz val="10"/>
        <color rgb="FF231F20"/>
        <rFont val="Calibri"/>
        <family val="2"/>
        <scheme val="minor"/>
      </rPr>
      <t>Equity holders of the parent</t>
    </r>
  </si>
  <si>
    <r>
      <rPr>
        <sz val="10"/>
        <color rgb="FF231F20"/>
        <rFont val="Calibri"/>
        <family val="2"/>
        <scheme val="minor"/>
      </rPr>
      <t>Earnings per share</t>
    </r>
  </si>
  <si>
    <r>
      <rPr>
        <sz val="10"/>
        <color rgb="FF231F20"/>
        <rFont val="Calibri"/>
        <family val="2"/>
        <scheme val="minor"/>
      </rPr>
      <t>Basic</t>
    </r>
  </si>
  <si>
    <r>
      <rPr>
        <sz val="10"/>
        <color rgb="FF231F20"/>
        <rFont val="Calibri"/>
        <family val="2"/>
        <scheme val="minor"/>
      </rPr>
      <t>Diluted</t>
    </r>
  </si>
  <si>
    <t>Consolidated statements of  financial position as of  31 December 2018 and 2017</t>
  </si>
  <si>
    <t>(in Euros)</t>
  </si>
  <si>
    <t>Consolidated statements of profit or loss - 31 December 2018 and 2017</t>
  </si>
  <si>
    <t>Interest Coverage Ratio (x)</t>
  </si>
  <si>
    <t>Equity Multiplier (x)</t>
  </si>
  <si>
    <t>Debt to Equity Ratio (x)</t>
  </si>
  <si>
    <t>Solvency Ratios</t>
  </si>
  <si>
    <t>EPS (x)</t>
  </si>
  <si>
    <t>ROE (%)</t>
  </si>
  <si>
    <t>Net Profit Margin (%)</t>
  </si>
  <si>
    <t>EBIT Margin (%)</t>
  </si>
  <si>
    <t>EBITDA Margin (%)</t>
  </si>
  <si>
    <t>Gross Profit Margin (%)</t>
  </si>
  <si>
    <t>Profitability Ratios</t>
  </si>
  <si>
    <t>Cash Cycle (days)</t>
  </si>
  <si>
    <t>Operating Cycle (days)</t>
  </si>
  <si>
    <t>Payables Period (days)</t>
  </si>
  <si>
    <t>Payables Turnover (x)</t>
  </si>
  <si>
    <t>Days in Inventory (days)</t>
  </si>
  <si>
    <t>Inventory Turnover (x)</t>
  </si>
  <si>
    <t>Collection Period (days)</t>
  </si>
  <si>
    <t>Accounts Receivables Turnover (x)</t>
  </si>
  <si>
    <t>Total Assets Turnover (x)</t>
  </si>
  <si>
    <t>Efficiency Ratios</t>
  </si>
  <si>
    <t>Cash Ratio (x)</t>
  </si>
  <si>
    <t>Quick Ratio (x)</t>
  </si>
  <si>
    <t>Current Ratio (x)</t>
  </si>
  <si>
    <t>Liquidity Ratios</t>
  </si>
  <si>
    <t>Key Financial Ratios</t>
  </si>
  <si>
    <t>Financial Balance</t>
  </si>
  <si>
    <t>Net Working Capital</t>
  </si>
  <si>
    <t>Working Capital Requirements</t>
  </si>
  <si>
    <r>
      <rPr>
        <b/>
        <sz val="10"/>
        <color rgb="FF231F20"/>
        <rFont val="Calibri"/>
        <family val="2"/>
        <scheme val="minor"/>
      </rPr>
      <t>Total current assets</t>
    </r>
  </si>
  <si>
    <t>YE closing price</t>
  </si>
  <si>
    <t>Shares Outstanding (millions)</t>
  </si>
  <si>
    <t>Market Value of Equity (millions)</t>
  </si>
  <si>
    <t>Market-to-Book Ratio</t>
  </si>
  <si>
    <t>Net Debt (millions)</t>
  </si>
  <si>
    <t>Enterprise Value (millions)</t>
  </si>
  <si>
    <t>Market Value (millions)</t>
  </si>
  <si>
    <t>Total Revenues</t>
  </si>
  <si>
    <r>
      <rPr>
        <b/>
        <sz val="10"/>
        <color rgb="FF231F20"/>
        <rFont val="Calibri"/>
        <family val="2"/>
        <scheme val="minor"/>
      </rPr>
      <t>Consolidated net profit</t>
    </r>
  </si>
  <si>
    <t>Fixed Assets Turnover (x)</t>
  </si>
  <si>
    <t>Total Debt</t>
  </si>
  <si>
    <t>Debt to Enterprise Value Ratio (x)</t>
  </si>
  <si>
    <t>Debt-to-Capital Ratio (x)</t>
  </si>
  <si>
    <t>P/E Ratio</t>
  </si>
  <si>
    <t>ROIC (%)</t>
  </si>
  <si>
    <t>Tax rate (%)</t>
  </si>
  <si>
    <t xml:space="preserve">   Du Pont</t>
  </si>
  <si>
    <t xml:space="preserve">        Net Profit Margin</t>
  </si>
  <si>
    <t xml:space="preserve">        x Asset Turnover</t>
  </si>
  <si>
    <t xml:space="preserve">        x Equity Multiplier</t>
  </si>
  <si>
    <t>Peers</t>
  </si>
  <si>
    <t>Profitability</t>
  </si>
  <si>
    <t>40.6% </t>
  </si>
  <si>
    <t>21.7% </t>
  </si>
  <si>
    <t>13.4% </t>
  </si>
  <si>
    <t>10.4% </t>
  </si>
  <si>
    <t>0.68 </t>
  </si>
  <si>
    <t>2.13 </t>
  </si>
  <si>
    <t>10.9% </t>
  </si>
  <si>
    <t>Liquidity</t>
  </si>
  <si>
    <t>0.75 </t>
  </si>
  <si>
    <t>1.21 </t>
  </si>
  <si>
    <t>0.43 </t>
  </si>
  <si>
    <t>1.51 </t>
  </si>
  <si>
    <t>6.3 </t>
  </si>
  <si>
    <t>57.6 </t>
  </si>
  <si>
    <t>4.4 </t>
  </si>
  <si>
    <t>83.2 </t>
  </si>
  <si>
    <t>90.3 </t>
  </si>
  <si>
    <t>1.20 </t>
  </si>
  <si>
    <t>Net Debt to EBITDA (x)</t>
  </si>
  <si>
    <t>Depending on the source of data (e.g., Reuters, Altri's reported figures), the margin may differ</t>
  </si>
  <si>
    <r>
      <rPr>
        <sz val="9"/>
        <color rgb="FF231F20"/>
        <rFont val="Calibri"/>
        <family val="2"/>
        <scheme val="minor"/>
      </rPr>
      <t>4.2 and 5</t>
    </r>
  </si>
  <si>
    <t>Graders: topics to answer</t>
  </si>
  <si>
    <t xml:space="preserve">   Raise long-term debt</t>
  </si>
  <si>
    <t xml:space="preserve">   Renegotiate with suppliers</t>
  </si>
  <si>
    <t xml:space="preserve">   Renegotiate with customers</t>
  </si>
  <si>
    <t xml:space="preserve">   The net trade balance is not explored in the course but shows a favourable position (~70M)</t>
  </si>
  <si>
    <t xml:space="preserve">   Overall, liquidity is not an issue for the company</t>
  </si>
  <si>
    <t xml:space="preserve">   Look at the three dimensions of the Du Pont identity</t>
  </si>
  <si>
    <t xml:space="preserve">   The company is already more profitable than peer companies</t>
  </si>
  <si>
    <t xml:space="preserve">   Net profit margin shows better figures, mainly due to higher leverage</t>
  </si>
  <si>
    <t xml:space="preserve">   However, rising yields may jeopardize Altri's ROE</t>
  </si>
  <si>
    <t>More sophisticated analyses could be performed, but for undergraduate students, we should take it softly</t>
  </si>
  <si>
    <t>No points to be granted</t>
  </si>
  <si>
    <t>3 points</t>
  </si>
  <si>
    <t>1)</t>
  </si>
  <si>
    <t>2)</t>
  </si>
  <si>
    <t>3)</t>
  </si>
  <si>
    <t>4)</t>
  </si>
  <si>
    <t>4 points</t>
  </si>
  <si>
    <t>13 points</t>
  </si>
  <si>
    <t>Limited to 2 recommendations for Liquidity and 2 for profitability</t>
  </si>
  <si>
    <t>Identifying one mechanism of improvement</t>
  </si>
  <si>
    <t>0.25 points</t>
  </si>
  <si>
    <t>Explaining how to implement the mechanism and some related consequences</t>
  </si>
  <si>
    <t>0.50 points</t>
  </si>
  <si>
    <t>1.0 point</t>
  </si>
  <si>
    <t>Valuation Ratios (not all)</t>
  </si>
  <si>
    <t>For straightforward comparisons in each group of ratios</t>
  </si>
  <si>
    <t>0.75 points</t>
  </si>
  <si>
    <t>If context is included</t>
  </si>
  <si>
    <t>1.00 point</t>
  </si>
  <si>
    <t>or</t>
  </si>
  <si>
    <t>if more than 1 ratio is compared with a brief comment</t>
  </si>
  <si>
    <t>2.0 points</t>
  </si>
  <si>
    <t>3.0 points</t>
  </si>
  <si>
    <t>or, an outstanding analysis</t>
  </si>
  <si>
    <t>computing ratios</t>
  </si>
  <si>
    <t>context under the current outbreak</t>
  </si>
  <si>
    <t>detail from notes to the financial statements or providing context to the ratio (showing formulas should not be graded - it is common knowledge)</t>
  </si>
  <si>
    <t>Includes interest expense and other items</t>
  </si>
  <si>
    <t>Students may not find the correct price at calendar year end. Approximations are ok.</t>
  </si>
  <si>
    <t>Derivatives should not be included</t>
  </si>
  <si>
    <t>Biological assets are included because of the nature of the business - produce the raw material</t>
  </si>
  <si>
    <t>May be excluded from gross profit margin because it refers to non recurring items</t>
  </si>
  <si>
    <t>Be flexible</t>
  </si>
  <si>
    <t>It is required to present the DuPont decomposition</t>
  </si>
  <si>
    <t>Grants are included, however they are not interest generating debt</t>
  </si>
  <si>
    <t xml:space="preserve">     Interest expense</t>
  </si>
  <si>
    <t>Interest Coverage Ratio (x) v2</t>
  </si>
  <si>
    <t>Should include interest expense, only</t>
  </si>
  <si>
    <t>May be computed using EBITDA</t>
  </si>
  <si>
    <t>Rebates</t>
  </si>
  <si>
    <t>Accruals</t>
  </si>
  <si>
    <t>Expansion of mills - subsidized debt - not interest generating</t>
  </si>
  <si>
    <t>Non reimbursable grants</t>
  </si>
  <si>
    <t>Can be computed  using total operating revenues</t>
  </si>
  <si>
    <t>May exclude other income because it comes from disposal of assets and other non recurring items.</t>
  </si>
  <si>
    <t>Industry specific ratios (e.g., transportation costs/ton; EBITDA/mill; etc)</t>
  </si>
  <si>
    <t>Students are not required to be exhaustive - i.e., it is not required to analyse all ratios</t>
  </si>
  <si>
    <t xml:space="preserve">   (e.g., increasing long-term debt solves the liquidity issue but may jeopardize performance - net income)</t>
  </si>
  <si>
    <t>0.75 points for each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</si>
</sst>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_);\(#,##0\)"/>
    <numFmt numFmtId="166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72757C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rgb="FF231F2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231F2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231F2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u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2757C"/>
      </patternFill>
    </fill>
    <fill>
      <patternFill patternType="solid">
        <fgColor rgb="FFD8D7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4546A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72757C"/>
      </bottom>
      <diagonal/>
    </border>
    <border>
      <left/>
      <right/>
      <top style="thin">
        <color rgb="FF72757C"/>
      </top>
      <bottom style="thin">
        <color rgb="FF72757C"/>
      </bottom>
      <diagonal/>
    </border>
    <border>
      <left/>
      <right/>
      <top style="thin">
        <color rgb="FF72757C"/>
      </top>
      <bottom/>
      <diagonal/>
    </border>
    <border>
      <left/>
      <right/>
      <top style="thin">
        <color rgb="FF72757C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19" fillId="0" borderId="0" xfId="0" applyFont="1" applyAlignment="1">
      <alignment horizontal="left" vertical="center"/>
    </xf>
    <xf numFmtId="0" fontId="20" fillId="33" borderId="10" xfId="0" applyFont="1" applyFill="1" applyBorder="1" applyAlignment="1">
      <alignment vertical="center" wrapText="1"/>
    </xf>
    <xf numFmtId="14" fontId="21" fillId="33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 shrinkToFit="1"/>
    </xf>
    <xf numFmtId="0" fontId="22" fillId="0" borderId="11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center" shrinkToFit="1"/>
    </xf>
    <xf numFmtId="0" fontId="22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right" vertical="center" shrinkToFit="1"/>
    </xf>
    <xf numFmtId="0" fontId="22" fillId="34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3" fontId="25" fillId="0" borderId="0" xfId="0" applyNumberFormat="1" applyFont="1" applyAlignment="1">
      <alignment horizontal="right" vertical="center" shrinkToFit="1"/>
    </xf>
    <xf numFmtId="0" fontId="23" fillId="34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65" fontId="23" fillId="0" borderId="11" xfId="0" applyNumberFormat="1" applyFont="1" applyBorder="1" applyAlignment="1">
      <alignment horizontal="right" vertical="center" shrinkToFit="1"/>
    </xf>
    <xf numFmtId="165" fontId="25" fillId="0" borderId="11" xfId="0" applyNumberFormat="1" applyFont="1" applyBorder="1" applyAlignment="1">
      <alignment horizontal="right" vertical="center" shrinkToFit="1"/>
    </xf>
    <xf numFmtId="0" fontId="25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2" fontId="23" fillId="0" borderId="11" xfId="0" applyNumberFormat="1" applyFont="1" applyBorder="1" applyAlignment="1">
      <alignment horizontal="right" vertical="center" shrinkToFit="1"/>
    </xf>
    <xf numFmtId="0" fontId="19" fillId="0" borderId="0" xfId="0" applyFont="1" applyAlignment="1">
      <alignment vertical="center"/>
    </xf>
    <xf numFmtId="0" fontId="27" fillId="0" borderId="0" xfId="42" applyFont="1" applyAlignment="1">
      <alignment vertical="center"/>
    </xf>
    <xf numFmtId="0" fontId="27" fillId="0" borderId="0" xfId="42" applyFont="1" applyAlignment="1">
      <alignment horizontal="center" vertical="center"/>
    </xf>
    <xf numFmtId="2" fontId="27" fillId="0" borderId="14" xfId="42" applyNumberFormat="1" applyFont="1" applyBorder="1" applyAlignment="1">
      <alignment horizontal="center" vertical="center"/>
    </xf>
    <xf numFmtId="2" fontId="27" fillId="0" borderId="15" xfId="42" applyNumberFormat="1" applyFont="1" applyBorder="1" applyAlignment="1">
      <alignment horizontal="center" vertical="center"/>
    </xf>
    <xf numFmtId="0" fontId="22" fillId="0" borderId="16" xfId="42" applyFont="1" applyBorder="1" applyAlignment="1">
      <alignment vertical="center"/>
    </xf>
    <xf numFmtId="2" fontId="27" fillId="0" borderId="17" xfId="42" applyNumberFormat="1" applyFont="1" applyBorder="1" applyAlignment="1">
      <alignment horizontal="center" vertical="center"/>
    </xf>
    <xf numFmtId="2" fontId="27" fillId="0" borderId="18" xfId="42" applyNumberFormat="1" applyFont="1" applyBorder="1" applyAlignment="1">
      <alignment horizontal="center" vertical="center"/>
    </xf>
    <xf numFmtId="0" fontId="22" fillId="0" borderId="19" xfId="42" applyFont="1" applyBorder="1" applyAlignment="1">
      <alignment vertical="center"/>
    </xf>
    <xf numFmtId="2" fontId="27" fillId="0" borderId="20" xfId="42" applyNumberFormat="1" applyFont="1" applyBorder="1" applyAlignment="1">
      <alignment horizontal="center" vertical="center"/>
    </xf>
    <xf numFmtId="2" fontId="27" fillId="0" borderId="21" xfId="42" applyNumberFormat="1" applyFont="1" applyBorder="1" applyAlignment="1">
      <alignment horizontal="center" vertical="center"/>
    </xf>
    <xf numFmtId="0" fontId="22" fillId="0" borderId="22" xfId="42" applyFont="1" applyBorder="1" applyAlignment="1">
      <alignment vertical="center"/>
    </xf>
    <xf numFmtId="2" fontId="27" fillId="35" borderId="23" xfId="42" applyNumberFormat="1" applyFont="1" applyFill="1" applyBorder="1" applyAlignment="1">
      <alignment horizontal="center" vertical="center"/>
    </xf>
    <xf numFmtId="2" fontId="27" fillId="35" borderId="24" xfId="42" applyNumberFormat="1" applyFont="1" applyFill="1" applyBorder="1" applyAlignment="1">
      <alignment horizontal="center" vertical="center"/>
    </xf>
    <xf numFmtId="0" fontId="24" fillId="35" borderId="25" xfId="42" applyFont="1" applyFill="1" applyBorder="1" applyAlignment="1">
      <alignment vertical="center"/>
    </xf>
    <xf numFmtId="2" fontId="27" fillId="0" borderId="26" xfId="42" applyNumberFormat="1" applyFont="1" applyBorder="1" applyAlignment="1">
      <alignment horizontal="center" vertical="center"/>
    </xf>
    <xf numFmtId="2" fontId="27" fillId="0" borderId="27" xfId="42" applyNumberFormat="1" applyFont="1" applyBorder="1" applyAlignment="1">
      <alignment horizontal="center" vertical="center"/>
    </xf>
    <xf numFmtId="0" fontId="22" fillId="0" borderId="28" xfId="42" applyFont="1" applyBorder="1" applyAlignment="1">
      <alignment vertical="center"/>
    </xf>
    <xf numFmtId="10" fontId="27" fillId="0" borderId="18" xfId="43" applyNumberFormat="1" applyFont="1" applyBorder="1" applyAlignment="1">
      <alignment horizontal="center" vertical="center"/>
    </xf>
    <xf numFmtId="0" fontId="24" fillId="0" borderId="0" xfId="42" applyFont="1" applyAlignment="1">
      <alignment vertical="center"/>
    </xf>
    <xf numFmtId="3" fontId="27" fillId="0" borderId="21" xfId="42" applyNumberFormat="1" applyFont="1" applyBorder="1" applyAlignment="1">
      <alignment horizontal="center" vertical="center"/>
    </xf>
    <xf numFmtId="166" fontId="23" fillId="0" borderId="11" xfId="0" applyNumberFormat="1" applyFont="1" applyBorder="1" applyAlignment="1">
      <alignment horizontal="right" vertical="center" shrinkToFit="1"/>
    </xf>
    <xf numFmtId="166" fontId="27" fillId="0" borderId="21" xfId="42" applyNumberFormat="1" applyFont="1" applyBorder="1" applyAlignment="1">
      <alignment horizontal="center" vertical="center"/>
    </xf>
    <xf numFmtId="1" fontId="27" fillId="0" borderId="18" xfId="42" applyNumberFormat="1" applyFont="1" applyBorder="1" applyAlignment="1">
      <alignment horizontal="center" vertical="center"/>
    </xf>
    <xf numFmtId="0" fontId="28" fillId="0" borderId="19" xfId="42" applyFont="1" applyBorder="1" applyAlignment="1">
      <alignment vertical="center"/>
    </xf>
    <xf numFmtId="0" fontId="20" fillId="36" borderId="29" xfId="0" applyFont="1" applyFill="1" applyBorder="1" applyAlignment="1">
      <alignment vertical="center" wrapText="1"/>
    </xf>
    <xf numFmtId="14" fontId="21" fillId="36" borderId="29" xfId="0" applyNumberFormat="1" applyFont="1" applyFill="1" applyBorder="1" applyAlignment="1">
      <alignment vertical="center" wrapText="1"/>
    </xf>
    <xf numFmtId="1" fontId="27" fillId="0" borderId="17" xfId="42" applyNumberFormat="1" applyFont="1" applyBorder="1" applyAlignment="1">
      <alignment horizontal="center" vertical="center"/>
    </xf>
    <xf numFmtId="14" fontId="21" fillId="36" borderId="32" xfId="0" applyNumberFormat="1" applyFont="1" applyFill="1" applyBorder="1" applyAlignment="1">
      <alignment vertical="center" wrapText="1"/>
    </xf>
    <xf numFmtId="2" fontId="27" fillId="0" borderId="36" xfId="42" applyNumberFormat="1" applyFont="1" applyBorder="1" applyAlignment="1">
      <alignment horizontal="center" vertical="center"/>
    </xf>
    <xf numFmtId="166" fontId="27" fillId="0" borderId="35" xfId="42" applyNumberFormat="1" applyFont="1" applyBorder="1" applyAlignment="1">
      <alignment horizontal="center" vertical="center"/>
    </xf>
    <xf numFmtId="2" fontId="27" fillId="0" borderId="35" xfId="42" applyNumberFormat="1" applyFont="1" applyBorder="1" applyAlignment="1">
      <alignment horizontal="center" vertical="center"/>
    </xf>
    <xf numFmtId="3" fontId="27" fillId="0" borderId="35" xfId="42" applyNumberFormat="1" applyFont="1" applyBorder="1" applyAlignment="1">
      <alignment horizontal="center" vertical="center"/>
    </xf>
    <xf numFmtId="2" fontId="27" fillId="0" borderId="37" xfId="42" applyNumberFormat="1" applyFont="1" applyBorder="1" applyAlignment="1">
      <alignment horizontal="center" vertical="center"/>
    </xf>
    <xf numFmtId="14" fontId="21" fillId="36" borderId="33" xfId="0" applyNumberFormat="1" applyFont="1" applyFill="1" applyBorder="1" applyAlignment="1">
      <alignment horizontal="center" vertical="center" wrapText="1"/>
    </xf>
    <xf numFmtId="10" fontId="27" fillId="0" borderId="17" xfId="43" applyNumberFormat="1" applyFont="1" applyBorder="1" applyAlignment="1">
      <alignment horizontal="center" vertical="center"/>
    </xf>
    <xf numFmtId="2" fontId="27" fillId="35" borderId="34" xfId="42" applyNumberFormat="1" applyFont="1" applyFill="1" applyBorder="1" applyAlignment="1">
      <alignment horizontal="center" vertical="center"/>
    </xf>
    <xf numFmtId="3" fontId="27" fillId="0" borderId="20" xfId="42" applyNumberFormat="1" applyFont="1" applyBorder="1" applyAlignment="1">
      <alignment horizontal="center" vertical="center"/>
    </xf>
    <xf numFmtId="2" fontId="27" fillId="0" borderId="38" xfId="42" applyNumberFormat="1" applyFont="1" applyBorder="1" applyAlignment="1">
      <alignment horizontal="center" vertical="center"/>
    </xf>
    <xf numFmtId="10" fontId="27" fillId="0" borderId="36" xfId="43" applyNumberFormat="1" applyFont="1" applyBorder="1" applyAlignment="1">
      <alignment horizontal="center" vertical="center"/>
    </xf>
    <xf numFmtId="0" fontId="20" fillId="36" borderId="30" xfId="0" applyFont="1" applyFill="1" applyBorder="1" applyAlignment="1">
      <alignment vertical="center" wrapText="1"/>
    </xf>
    <xf numFmtId="166" fontId="27" fillId="0" borderId="20" xfId="42" applyNumberFormat="1" applyFont="1" applyBorder="1" applyAlignment="1">
      <alignment horizontal="center" vertical="center"/>
    </xf>
    <xf numFmtId="1" fontId="27" fillId="0" borderId="36" xfId="42" applyNumberFormat="1" applyFont="1" applyBorder="1" applyAlignment="1">
      <alignment horizontal="center" vertical="center"/>
    </xf>
    <xf numFmtId="14" fontId="21" fillId="36" borderId="31" xfId="0" applyNumberFormat="1" applyFont="1" applyFill="1" applyBorder="1" applyAlignment="1">
      <alignment vertical="center" wrapText="1"/>
    </xf>
    <xf numFmtId="1" fontId="31" fillId="0" borderId="11" xfId="0" applyNumberFormat="1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14" fontId="29" fillId="33" borderId="10" xfId="0" applyNumberFormat="1" applyFont="1" applyFill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14" fontId="29" fillId="36" borderId="29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9" fillId="0" borderId="0" xfId="0" applyFont="1"/>
    <xf numFmtId="0" fontId="40" fillId="0" borderId="0" xfId="0" applyFont="1"/>
    <xf numFmtId="0" fontId="41" fillId="0" borderId="0" xfId="0" applyFont="1" applyAlignment="1">
      <alignment horizontal="center"/>
    </xf>
    <xf numFmtId="9" fontId="39" fillId="0" borderId="0" xfId="44" applyNumberFormat="1" applyFont="1" applyAlignment="1">
      <alignment horizontal="center"/>
    </xf>
    <xf numFmtId="0" fontId="27" fillId="0" borderId="0" xfId="42" applyFont="1" applyAlignment="1">
      <alignment horizontal="left" vertical="center"/>
    </xf>
    <xf numFmtId="2" fontId="27" fillId="35" borderId="34" xfId="42" applyNumberFormat="1" applyFont="1" applyFill="1" applyBorder="1" applyAlignment="1">
      <alignment horizontal="left" vertical="center"/>
    </xf>
    <xf numFmtId="3" fontId="27" fillId="0" borderId="35" xfId="42" applyNumberFormat="1" applyFont="1" applyBorder="1" applyAlignment="1">
      <alignment horizontal="left" vertical="center"/>
    </xf>
    <xf numFmtId="2" fontId="27" fillId="0" borderId="35" xfId="42" applyNumberFormat="1" applyFont="1" applyBorder="1" applyAlignment="1">
      <alignment horizontal="left" vertical="center"/>
    </xf>
    <xf numFmtId="166" fontId="27" fillId="0" borderId="35" xfId="42" applyNumberFormat="1" applyFont="1" applyBorder="1" applyAlignment="1">
      <alignment horizontal="left" vertical="center"/>
    </xf>
    <xf numFmtId="2" fontId="27" fillId="0" borderId="36" xfId="42" applyNumberFormat="1" applyFont="1" applyBorder="1" applyAlignment="1">
      <alignment horizontal="left" vertical="center"/>
    </xf>
    <xf numFmtId="2" fontId="27" fillId="0" borderId="37" xfId="42" applyNumberFormat="1" applyFont="1" applyBorder="1" applyAlignment="1">
      <alignment horizontal="left" vertical="center"/>
    </xf>
    <xf numFmtId="1" fontId="27" fillId="0" borderId="36" xfId="42" applyNumberFormat="1" applyFont="1" applyBorder="1" applyAlignment="1">
      <alignment horizontal="left" vertical="center"/>
    </xf>
    <xf numFmtId="10" fontId="27" fillId="0" borderId="36" xfId="43" applyNumberFormat="1" applyFont="1" applyBorder="1" applyAlignment="1">
      <alignment horizontal="left" vertical="center"/>
    </xf>
    <xf numFmtId="2" fontId="27" fillId="0" borderId="38" xfId="42" applyNumberFormat="1" applyFont="1" applyBorder="1" applyAlignment="1">
      <alignment horizontal="left" vertical="center"/>
    </xf>
    <xf numFmtId="3" fontId="27" fillId="0" borderId="27" xfId="42" applyNumberFormat="1" applyFont="1" applyBorder="1" applyAlignment="1">
      <alignment horizontal="center" vertical="center"/>
    </xf>
    <xf numFmtId="3" fontId="27" fillId="0" borderId="26" xfId="42" applyNumberFormat="1" applyFont="1" applyBorder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7FF4B60B-E23B-4F7F-B66C-B010E06E39F8}"/>
    <cellStyle name="Note" xfId="15" builtinId="10" customBuiltin="1"/>
    <cellStyle name="Output" xfId="10" builtinId="21" customBuiltin="1"/>
    <cellStyle name="Percent" xfId="44" builtinId="5"/>
    <cellStyle name="Percent 2" xfId="43" xr:uid="{5BFD0F34-7A59-45C9-AAAF-761C1D3B87B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03CC2-4CDF-4FB9-8894-2ABD3CE87ECF}">
  <dimension ref="A2:F45"/>
  <sheetViews>
    <sheetView tabSelected="1" zoomScale="115" zoomScaleNormal="115" workbookViewId="0"/>
  </sheetViews>
  <sheetFormatPr defaultRowHeight="15" x14ac:dyDescent="0.25"/>
  <cols>
    <col min="1" max="1" width="9.140625" style="95"/>
    <col min="2" max="3" width="12" customWidth="1"/>
  </cols>
  <sheetData>
    <row r="2" spans="1:6" x14ac:dyDescent="0.25">
      <c r="A2" s="95" t="s">
        <v>167</v>
      </c>
      <c r="B2" s="88" t="s">
        <v>165</v>
      </c>
      <c r="C2" s="88"/>
      <c r="D2" s="88"/>
      <c r="E2" s="88"/>
      <c r="F2" s="88"/>
    </row>
    <row r="3" spans="1:6" x14ac:dyDescent="0.25">
      <c r="B3" s="88"/>
      <c r="C3" s="88"/>
      <c r="D3" s="88"/>
      <c r="E3" s="88"/>
      <c r="F3" s="88"/>
    </row>
    <row r="4" spans="1:6" x14ac:dyDescent="0.25">
      <c r="B4" s="88"/>
      <c r="C4" s="88"/>
      <c r="D4" s="88"/>
      <c r="E4" s="88"/>
      <c r="F4" s="88"/>
    </row>
    <row r="5" spans="1:6" x14ac:dyDescent="0.25">
      <c r="A5" s="95" t="s">
        <v>168</v>
      </c>
      <c r="B5" s="97" t="s">
        <v>172</v>
      </c>
      <c r="C5" s="88"/>
      <c r="D5" s="88"/>
      <c r="E5" s="88"/>
      <c r="F5" s="88"/>
    </row>
    <row r="6" spans="1:6" x14ac:dyDescent="0.25">
      <c r="B6" s="88"/>
      <c r="C6" s="88"/>
      <c r="D6" s="88"/>
      <c r="E6" s="88"/>
      <c r="F6" s="88"/>
    </row>
    <row r="7" spans="1:6" s="88" customFormat="1" x14ac:dyDescent="0.25">
      <c r="A7" s="95"/>
      <c r="B7" s="96" t="s">
        <v>186</v>
      </c>
      <c r="C7" s="88" t="s">
        <v>179</v>
      </c>
    </row>
    <row r="8" spans="1:6" x14ac:dyDescent="0.25">
      <c r="B8" s="96" t="s">
        <v>186</v>
      </c>
      <c r="C8" s="88" t="s">
        <v>105</v>
      </c>
      <c r="D8" s="88"/>
      <c r="E8" s="88"/>
      <c r="F8" s="88"/>
    </row>
    <row r="9" spans="1:6" x14ac:dyDescent="0.25">
      <c r="B9" s="96" t="s">
        <v>187</v>
      </c>
      <c r="C9" s="88" t="s">
        <v>101</v>
      </c>
      <c r="D9" s="88"/>
      <c r="E9" s="88"/>
      <c r="F9" s="88"/>
    </row>
    <row r="10" spans="1:6" x14ac:dyDescent="0.25">
      <c r="B10" s="96" t="s">
        <v>187</v>
      </c>
      <c r="C10" s="88" t="s">
        <v>91</v>
      </c>
      <c r="D10" s="88"/>
      <c r="E10" s="88"/>
      <c r="F10" s="88"/>
    </row>
    <row r="11" spans="1:6" x14ac:dyDescent="0.25">
      <c r="B11" s="96" t="s">
        <v>186</v>
      </c>
      <c r="C11" s="88" t="s">
        <v>84</v>
      </c>
      <c r="D11" s="88"/>
      <c r="E11" s="88"/>
      <c r="F11" s="88"/>
    </row>
    <row r="12" spans="1:6" x14ac:dyDescent="0.25">
      <c r="B12" s="88"/>
      <c r="C12" s="88"/>
      <c r="D12" s="88"/>
      <c r="E12" s="88"/>
      <c r="F12" s="88"/>
    </row>
    <row r="13" spans="1:6" x14ac:dyDescent="0.25">
      <c r="B13" s="96" t="s">
        <v>178</v>
      </c>
      <c r="C13" s="88" t="s">
        <v>210</v>
      </c>
      <c r="D13" s="88"/>
      <c r="E13" s="88"/>
      <c r="F13" s="88"/>
    </row>
    <row r="14" spans="1:6" x14ac:dyDescent="0.25">
      <c r="B14" s="88"/>
      <c r="C14" s="88" t="s">
        <v>188</v>
      </c>
      <c r="D14" s="88"/>
      <c r="E14" s="88"/>
      <c r="F14" s="88"/>
    </row>
    <row r="15" spans="1:6" x14ac:dyDescent="0.25">
      <c r="B15" s="88"/>
      <c r="C15" s="88"/>
      <c r="D15" s="88"/>
      <c r="E15" s="88"/>
      <c r="F15" s="88"/>
    </row>
    <row r="16" spans="1:6" s="88" customFormat="1" x14ac:dyDescent="0.25">
      <c r="A16" s="95"/>
      <c r="C16" s="99">
        <v>0.5</v>
      </c>
      <c r="D16" s="88" t="s">
        <v>189</v>
      </c>
    </row>
    <row r="17" spans="1:6" s="88" customFormat="1" x14ac:dyDescent="0.25">
      <c r="A17" s="95"/>
      <c r="C17" s="99">
        <v>0.35</v>
      </c>
      <c r="D17" s="88" t="s">
        <v>191</v>
      </c>
    </row>
    <row r="18" spans="1:6" s="88" customFormat="1" x14ac:dyDescent="0.25">
      <c r="A18" s="95"/>
      <c r="C18" s="99">
        <v>0.15</v>
      </c>
      <c r="D18" s="88" t="s">
        <v>190</v>
      </c>
    </row>
    <row r="19" spans="1:6" s="88" customFormat="1" x14ac:dyDescent="0.25">
      <c r="A19" s="95"/>
      <c r="C19" s="99"/>
    </row>
    <row r="20" spans="1:6" s="88" customFormat="1" x14ac:dyDescent="0.25">
      <c r="A20" s="95"/>
    </row>
    <row r="21" spans="1:6" x14ac:dyDescent="0.25">
      <c r="A21" s="95" t="s">
        <v>169</v>
      </c>
      <c r="B21" s="97" t="s">
        <v>171</v>
      </c>
      <c r="C21" s="88"/>
      <c r="D21" s="88"/>
      <c r="E21" s="88"/>
      <c r="F21" s="88"/>
    </row>
    <row r="22" spans="1:6" x14ac:dyDescent="0.25">
      <c r="B22" s="88" t="s">
        <v>211</v>
      </c>
      <c r="C22" s="88"/>
      <c r="D22" s="88"/>
      <c r="E22" s="88"/>
      <c r="F22" s="88"/>
    </row>
    <row r="23" spans="1:6" x14ac:dyDescent="0.25">
      <c r="B23" s="88"/>
      <c r="C23" s="88"/>
      <c r="D23" s="88"/>
      <c r="E23" s="88"/>
      <c r="F23" s="88"/>
    </row>
    <row r="24" spans="1:6" s="88" customFormat="1" x14ac:dyDescent="0.25">
      <c r="A24" s="95"/>
      <c r="B24" s="96" t="s">
        <v>178</v>
      </c>
      <c r="C24" s="88" t="s">
        <v>105</v>
      </c>
    </row>
    <row r="25" spans="1:6" s="88" customFormat="1" x14ac:dyDescent="0.25">
      <c r="A25" s="95"/>
      <c r="B25" s="96" t="s">
        <v>178</v>
      </c>
      <c r="C25" s="88" t="s">
        <v>101</v>
      </c>
    </row>
    <row r="26" spans="1:6" s="88" customFormat="1" x14ac:dyDescent="0.25">
      <c r="A26" s="95"/>
      <c r="B26" s="96" t="s">
        <v>178</v>
      </c>
      <c r="C26" s="88" t="s">
        <v>91</v>
      </c>
    </row>
    <row r="27" spans="1:6" s="88" customFormat="1" x14ac:dyDescent="0.25">
      <c r="A27" s="95"/>
      <c r="B27" s="96" t="s">
        <v>178</v>
      </c>
      <c r="C27" s="88" t="s">
        <v>84</v>
      </c>
    </row>
    <row r="28" spans="1:6" s="88" customFormat="1" x14ac:dyDescent="0.25">
      <c r="A28" s="95"/>
    </row>
    <row r="29" spans="1:6" s="88" customFormat="1" x14ac:dyDescent="0.25">
      <c r="A29" s="95"/>
      <c r="B29" s="95"/>
      <c r="C29" s="96" t="s">
        <v>181</v>
      </c>
      <c r="D29" s="88" t="s">
        <v>180</v>
      </c>
    </row>
    <row r="30" spans="1:6" s="88" customFormat="1" x14ac:dyDescent="0.25">
      <c r="A30" s="95"/>
      <c r="B30" s="95"/>
      <c r="C30" s="96" t="s">
        <v>175</v>
      </c>
      <c r="D30" s="88" t="s">
        <v>182</v>
      </c>
    </row>
    <row r="31" spans="1:6" s="88" customFormat="1" x14ac:dyDescent="0.25">
      <c r="A31" s="95"/>
      <c r="B31" s="95"/>
      <c r="C31" s="98" t="s">
        <v>184</v>
      </c>
    </row>
    <row r="32" spans="1:6" s="88" customFormat="1" x14ac:dyDescent="0.25">
      <c r="A32" s="95"/>
      <c r="B32" s="95"/>
      <c r="C32" s="96" t="s">
        <v>183</v>
      </c>
      <c r="D32" s="88" t="s">
        <v>185</v>
      </c>
    </row>
    <row r="33" spans="1:6" s="88" customFormat="1" x14ac:dyDescent="0.25">
      <c r="A33" s="95"/>
      <c r="B33" s="96"/>
    </row>
    <row r="34" spans="1:6" x14ac:dyDescent="0.25">
      <c r="B34" s="88"/>
      <c r="C34" s="88"/>
      <c r="D34" s="88"/>
      <c r="E34" s="88"/>
      <c r="F34" s="88"/>
    </row>
    <row r="35" spans="1:6" x14ac:dyDescent="0.25">
      <c r="A35" s="95" t="s">
        <v>170</v>
      </c>
      <c r="B35" s="97" t="s">
        <v>166</v>
      </c>
      <c r="C35" s="88"/>
      <c r="D35" s="88"/>
      <c r="E35" s="88"/>
      <c r="F35" s="88"/>
    </row>
    <row r="36" spans="1:6" x14ac:dyDescent="0.25">
      <c r="B36" s="88" t="s">
        <v>213</v>
      </c>
      <c r="C36" s="88"/>
      <c r="D36" s="88"/>
      <c r="E36" s="88"/>
      <c r="F36" s="88"/>
    </row>
    <row r="37" spans="1:6" x14ac:dyDescent="0.25">
      <c r="B37" s="88" t="s">
        <v>173</v>
      </c>
      <c r="C37" s="88"/>
      <c r="D37" s="88"/>
      <c r="E37" s="88"/>
      <c r="F37" s="88"/>
    </row>
    <row r="38" spans="1:6" x14ac:dyDescent="0.25">
      <c r="B38" s="88"/>
      <c r="C38" s="88"/>
      <c r="D38" s="88"/>
      <c r="E38" s="88"/>
      <c r="F38" s="88"/>
    </row>
    <row r="39" spans="1:6" x14ac:dyDescent="0.25">
      <c r="B39" s="95"/>
      <c r="C39" s="96" t="s">
        <v>177</v>
      </c>
      <c r="D39" s="88" t="s">
        <v>174</v>
      </c>
      <c r="E39" s="88"/>
      <c r="F39" s="88"/>
    </row>
    <row r="40" spans="1:6" x14ac:dyDescent="0.25">
      <c r="B40" s="95"/>
      <c r="C40" s="96" t="s">
        <v>175</v>
      </c>
      <c r="D40" s="88" t="s">
        <v>176</v>
      </c>
      <c r="E40" s="88"/>
      <c r="F40" s="88"/>
    </row>
    <row r="41" spans="1:6" x14ac:dyDescent="0.25">
      <c r="B41" s="95"/>
      <c r="C41" s="88"/>
      <c r="D41" s="88" t="s">
        <v>212</v>
      </c>
      <c r="E41" s="88"/>
      <c r="F41" s="88"/>
    </row>
    <row r="42" spans="1:6" x14ac:dyDescent="0.25">
      <c r="B42" s="88"/>
      <c r="C42" s="88"/>
      <c r="D42" s="88"/>
      <c r="E42" s="88"/>
      <c r="F42" s="88"/>
    </row>
    <row r="43" spans="1:6" x14ac:dyDescent="0.25">
      <c r="B43" s="88"/>
      <c r="C43" s="88"/>
      <c r="D43" s="88"/>
      <c r="E43" s="88"/>
      <c r="F43" s="88"/>
    </row>
    <row r="44" spans="1:6" x14ac:dyDescent="0.25">
      <c r="B44" s="88"/>
      <c r="C44" s="88"/>
      <c r="D44" s="88"/>
      <c r="E44" s="88"/>
      <c r="F44" s="88"/>
    </row>
    <row r="45" spans="1:6" x14ac:dyDescent="0.25">
      <c r="B45" s="88"/>
      <c r="C45" s="88"/>
      <c r="D45" s="88"/>
      <c r="E45" s="88"/>
      <c r="F45" s="8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F1E4-F47C-4F8A-BF25-8C1C51C7EC88}">
  <dimension ref="A1:F101"/>
  <sheetViews>
    <sheetView showGridLines="0" zoomScaleNormal="100" workbookViewId="0">
      <selection sqref="A1:D1"/>
    </sheetView>
  </sheetViews>
  <sheetFormatPr defaultRowHeight="12.75" x14ac:dyDescent="0.25"/>
  <cols>
    <col min="1" max="1" width="46.28515625" style="1" bestFit="1" customWidth="1"/>
    <col min="2" max="2" width="7.85546875" style="76" bestFit="1" customWidth="1"/>
    <col min="3" max="4" width="12.28515625" style="1" customWidth="1"/>
    <col min="5" max="5" width="5.7109375" style="1" customWidth="1"/>
    <col min="6" max="16384" width="9.140625" style="1"/>
  </cols>
  <sheetData>
    <row r="1" spans="1:4" ht="15" x14ac:dyDescent="0.25">
      <c r="A1" s="93" t="s">
        <v>78</v>
      </c>
      <c r="B1" s="93"/>
      <c r="C1" s="93"/>
      <c r="D1" s="93"/>
    </row>
    <row r="2" spans="1:4" ht="12.75" customHeight="1" x14ac:dyDescent="0.25">
      <c r="A2" s="54" t="s">
        <v>79</v>
      </c>
      <c r="B2" s="81" t="s">
        <v>0</v>
      </c>
      <c r="C2" s="55">
        <v>43465</v>
      </c>
      <c r="D2" s="55">
        <v>43100</v>
      </c>
    </row>
    <row r="3" spans="1:4" ht="12.75" customHeight="1" x14ac:dyDescent="0.25">
      <c r="A3" s="2" t="s">
        <v>1</v>
      </c>
      <c r="B3" s="78"/>
      <c r="C3" s="3"/>
      <c r="D3" s="3"/>
    </row>
    <row r="4" spans="1:4" x14ac:dyDescent="0.25">
      <c r="A4" s="94" t="s">
        <v>2</v>
      </c>
      <c r="B4" s="94"/>
      <c r="C4" s="94"/>
      <c r="D4" s="94"/>
    </row>
    <row r="5" spans="1:4" x14ac:dyDescent="0.25">
      <c r="A5" s="4" t="s">
        <v>3</v>
      </c>
      <c r="B5" s="75">
        <v>10</v>
      </c>
      <c r="C5" s="5">
        <v>98473925</v>
      </c>
      <c r="D5" s="5">
        <v>94848275</v>
      </c>
    </row>
    <row r="6" spans="1:4" x14ac:dyDescent="0.25">
      <c r="A6" s="6" t="s">
        <v>4</v>
      </c>
      <c r="B6" s="73">
        <v>7</v>
      </c>
      <c r="C6" s="7">
        <v>555509551</v>
      </c>
      <c r="D6" s="7">
        <v>396515699</v>
      </c>
    </row>
    <row r="7" spans="1:4" x14ac:dyDescent="0.25">
      <c r="A7" s="6" t="s">
        <v>5</v>
      </c>
      <c r="B7" s="87"/>
      <c r="C7" s="7">
        <v>113310</v>
      </c>
      <c r="D7" s="7">
        <v>113310</v>
      </c>
    </row>
    <row r="8" spans="1:4" x14ac:dyDescent="0.25">
      <c r="A8" s="6" t="s">
        <v>6</v>
      </c>
      <c r="B8" s="73">
        <v>8</v>
      </c>
      <c r="C8" s="7">
        <v>265531404</v>
      </c>
      <c r="D8" s="7">
        <v>265531404</v>
      </c>
    </row>
    <row r="9" spans="1:4" x14ac:dyDescent="0.25">
      <c r="A9" s="6" t="s">
        <v>7</v>
      </c>
      <c r="B9" s="73">
        <v>9</v>
      </c>
      <c r="C9" s="7">
        <v>55284353</v>
      </c>
      <c r="D9" s="7">
        <v>1019232</v>
      </c>
    </row>
    <row r="10" spans="1:4" ht="25.5" x14ac:dyDescent="0.25">
      <c r="A10" s="6" t="s">
        <v>8</v>
      </c>
      <c r="B10" s="85">
        <v>4.2</v>
      </c>
      <c r="C10" s="8">
        <v>696660</v>
      </c>
      <c r="D10" s="7">
        <v>17456932</v>
      </c>
    </row>
    <row r="11" spans="1:4" x14ac:dyDescent="0.25">
      <c r="A11" s="6" t="s">
        <v>9</v>
      </c>
      <c r="B11" s="85">
        <v>4.3</v>
      </c>
      <c r="C11" s="8">
        <v>0</v>
      </c>
      <c r="D11" s="7">
        <v>8692628</v>
      </c>
    </row>
    <row r="12" spans="1:4" x14ac:dyDescent="0.25">
      <c r="A12" s="6" t="s">
        <v>11</v>
      </c>
      <c r="B12" s="85">
        <v>4.3</v>
      </c>
      <c r="C12" s="7">
        <v>822913</v>
      </c>
      <c r="D12" s="8">
        <v>0</v>
      </c>
    </row>
    <row r="13" spans="1:4" x14ac:dyDescent="0.25">
      <c r="A13" s="6" t="s">
        <v>12</v>
      </c>
      <c r="B13" s="73">
        <v>18</v>
      </c>
      <c r="C13" s="7">
        <v>3210260</v>
      </c>
      <c r="D13" s="7">
        <v>3210260</v>
      </c>
    </row>
    <row r="14" spans="1:4" x14ac:dyDescent="0.25">
      <c r="A14" s="6" t="s">
        <v>13</v>
      </c>
      <c r="B14" s="73">
        <v>27</v>
      </c>
      <c r="C14" s="7">
        <v>733653</v>
      </c>
      <c r="D14" s="7">
        <v>1796781</v>
      </c>
    </row>
    <row r="15" spans="1:4" x14ac:dyDescent="0.25">
      <c r="A15" s="6" t="s">
        <v>14</v>
      </c>
      <c r="B15" s="73">
        <v>11</v>
      </c>
      <c r="C15" s="7">
        <v>36183398</v>
      </c>
      <c r="D15" s="7">
        <v>37776892</v>
      </c>
    </row>
    <row r="16" spans="1:4" x14ac:dyDescent="0.25">
      <c r="A16" s="9" t="s">
        <v>15</v>
      </c>
      <c r="B16" s="83"/>
      <c r="C16" s="10">
        <f>SUM(C5:C15)</f>
        <v>1016559427</v>
      </c>
      <c r="D16" s="10">
        <f>SUM(D5:D15)</f>
        <v>826961413</v>
      </c>
    </row>
    <row r="17" spans="1:6" x14ac:dyDescent="0.25">
      <c r="A17" s="11" t="s">
        <v>16</v>
      </c>
      <c r="B17" s="80"/>
      <c r="C17" s="12"/>
      <c r="D17" s="12"/>
    </row>
    <row r="18" spans="1:6" x14ac:dyDescent="0.25">
      <c r="A18" s="6" t="s">
        <v>17</v>
      </c>
      <c r="B18" s="73">
        <v>10</v>
      </c>
      <c r="C18" s="7">
        <v>70096250</v>
      </c>
      <c r="D18" s="7">
        <v>50728047</v>
      </c>
    </row>
    <row r="19" spans="1:6" x14ac:dyDescent="0.25">
      <c r="A19" s="6" t="s">
        <v>3</v>
      </c>
      <c r="B19" s="73">
        <v>10</v>
      </c>
      <c r="C19" s="8">
        <v>0</v>
      </c>
      <c r="D19" s="7">
        <v>628172</v>
      </c>
    </row>
    <row r="20" spans="1:6" x14ac:dyDescent="0.25">
      <c r="A20" s="6" t="s">
        <v>18</v>
      </c>
      <c r="B20" s="73">
        <v>12</v>
      </c>
      <c r="C20" s="7">
        <v>120825225</v>
      </c>
      <c r="D20" s="7">
        <v>113284683</v>
      </c>
    </row>
    <row r="21" spans="1:6" x14ac:dyDescent="0.25">
      <c r="A21" s="6" t="s">
        <v>19</v>
      </c>
      <c r="B21" s="73">
        <v>14</v>
      </c>
      <c r="C21" s="7">
        <v>8018340</v>
      </c>
      <c r="D21" s="8">
        <v>0</v>
      </c>
    </row>
    <row r="22" spans="1:6" x14ac:dyDescent="0.25">
      <c r="A22" s="6" t="s">
        <v>20</v>
      </c>
      <c r="B22" s="73">
        <v>13</v>
      </c>
      <c r="C22" s="7">
        <v>25079689</v>
      </c>
      <c r="D22" s="7">
        <v>15442487</v>
      </c>
    </row>
    <row r="23" spans="1:6" x14ac:dyDescent="0.25">
      <c r="A23" s="6" t="s">
        <v>21</v>
      </c>
      <c r="B23" s="73">
        <v>15</v>
      </c>
      <c r="C23" s="7">
        <v>3702509</v>
      </c>
      <c r="D23" s="7">
        <v>2298073</v>
      </c>
    </row>
    <row r="24" spans="1:6" x14ac:dyDescent="0.25">
      <c r="A24" s="6" t="s">
        <v>22</v>
      </c>
      <c r="B24" s="73">
        <v>16</v>
      </c>
      <c r="C24" s="7">
        <v>7043093</v>
      </c>
      <c r="D24" s="7">
        <v>2242035</v>
      </c>
      <c r="F24" s="1" t="s">
        <v>205</v>
      </c>
    </row>
    <row r="25" spans="1:6" x14ac:dyDescent="0.25">
      <c r="A25" s="6" t="s">
        <v>13</v>
      </c>
      <c r="B25" s="73">
        <v>27</v>
      </c>
      <c r="C25" s="7">
        <v>98873</v>
      </c>
      <c r="D25" s="7">
        <v>4903860</v>
      </c>
    </row>
    <row r="26" spans="1:6" x14ac:dyDescent="0.25">
      <c r="A26" s="6" t="s">
        <v>23</v>
      </c>
      <c r="B26" s="73">
        <v>17</v>
      </c>
      <c r="C26" s="7">
        <v>240765868</v>
      </c>
      <c r="D26" s="7">
        <v>193599737</v>
      </c>
    </row>
    <row r="27" spans="1:6" x14ac:dyDescent="0.25">
      <c r="A27" s="9" t="s">
        <v>110</v>
      </c>
      <c r="B27" s="83"/>
      <c r="C27" s="10">
        <f>SUM(C18:C26)</f>
        <v>475629847</v>
      </c>
      <c r="D27" s="10">
        <f>SUM(D18:D26)</f>
        <v>383127094</v>
      </c>
    </row>
    <row r="28" spans="1:6" x14ac:dyDescent="0.25">
      <c r="A28" s="9"/>
      <c r="B28" s="83"/>
      <c r="C28" s="10"/>
      <c r="D28" s="10"/>
    </row>
    <row r="29" spans="1:6" x14ac:dyDescent="0.25">
      <c r="A29" s="9" t="s">
        <v>24</v>
      </c>
      <c r="B29" s="83"/>
      <c r="C29" s="10">
        <f>+C27+C16</f>
        <v>1492189274</v>
      </c>
      <c r="D29" s="10">
        <f>+D27+D16</f>
        <v>1210088507</v>
      </c>
    </row>
    <row r="30" spans="1:6" x14ac:dyDescent="0.25">
      <c r="A30" s="13"/>
      <c r="B30" s="77"/>
      <c r="C30" s="14"/>
      <c r="D30" s="14"/>
    </row>
    <row r="31" spans="1:6" ht="12.75" customHeight="1" x14ac:dyDescent="0.25">
      <c r="A31" s="2" t="s">
        <v>25</v>
      </c>
      <c r="B31" s="78"/>
      <c r="C31" s="3"/>
      <c r="D31" s="3"/>
    </row>
    <row r="32" spans="1:6" x14ac:dyDescent="0.25">
      <c r="A32" s="4" t="s">
        <v>26</v>
      </c>
      <c r="B32" s="75">
        <v>19</v>
      </c>
      <c r="C32" s="5">
        <v>25641459</v>
      </c>
      <c r="D32" s="5">
        <v>25641459</v>
      </c>
    </row>
    <row r="33" spans="1:6" x14ac:dyDescent="0.25">
      <c r="A33" s="6" t="s">
        <v>27</v>
      </c>
      <c r="B33" s="73">
        <v>19</v>
      </c>
      <c r="C33" s="7">
        <v>5128292</v>
      </c>
      <c r="D33" s="7">
        <v>5128292</v>
      </c>
    </row>
    <row r="34" spans="1:6" x14ac:dyDescent="0.25">
      <c r="A34" s="6" t="s">
        <v>28</v>
      </c>
      <c r="B34" s="73">
        <v>19</v>
      </c>
      <c r="C34" s="7">
        <v>296330045</v>
      </c>
      <c r="D34" s="7">
        <v>267729157</v>
      </c>
    </row>
    <row r="35" spans="1:6" x14ac:dyDescent="0.25">
      <c r="A35" s="6" t="s">
        <v>29</v>
      </c>
      <c r="B35" s="87"/>
      <c r="C35" s="7">
        <v>194497353</v>
      </c>
      <c r="D35" s="7">
        <v>96068168</v>
      </c>
    </row>
    <row r="36" spans="1:6" ht="25.5" x14ac:dyDescent="0.25">
      <c r="A36" s="6" t="s">
        <v>30</v>
      </c>
      <c r="B36" s="87"/>
      <c r="C36" s="7">
        <f>SUM(C32:C35)</f>
        <v>521597149</v>
      </c>
      <c r="D36" s="7">
        <f>SUM(D32:D35)</f>
        <v>394567076</v>
      </c>
    </row>
    <row r="37" spans="1:6" x14ac:dyDescent="0.25">
      <c r="A37" s="6" t="s">
        <v>31</v>
      </c>
      <c r="B37" s="87"/>
      <c r="C37" s="8">
        <v>0</v>
      </c>
      <c r="D37" s="8">
        <v>0</v>
      </c>
    </row>
    <row r="38" spans="1:6" x14ac:dyDescent="0.25">
      <c r="A38" s="9" t="s">
        <v>32</v>
      </c>
      <c r="B38" s="83"/>
      <c r="C38" s="10">
        <f>SUM(C36:C37)</f>
        <v>521597149</v>
      </c>
      <c r="D38" s="10">
        <f>SUM(D36:D37)</f>
        <v>394567076</v>
      </c>
    </row>
    <row r="39" spans="1:6" ht="12.75" customHeight="1" x14ac:dyDescent="0.25">
      <c r="A39" s="2" t="s">
        <v>33</v>
      </c>
      <c r="B39" s="78"/>
      <c r="C39" s="3"/>
      <c r="D39" s="3"/>
    </row>
    <row r="40" spans="1:6" x14ac:dyDescent="0.25">
      <c r="A40" s="15" t="s">
        <v>34</v>
      </c>
      <c r="B40" s="80"/>
      <c r="C40" s="12"/>
      <c r="D40" s="12"/>
    </row>
    <row r="41" spans="1:6" x14ac:dyDescent="0.25">
      <c r="A41" s="6" t="s">
        <v>35</v>
      </c>
      <c r="B41" s="73">
        <v>20</v>
      </c>
      <c r="C41" s="7">
        <v>33500000</v>
      </c>
      <c r="D41" s="7">
        <v>39500000</v>
      </c>
    </row>
    <row r="42" spans="1:6" x14ac:dyDescent="0.25">
      <c r="A42" s="6" t="s">
        <v>36</v>
      </c>
      <c r="B42" s="73">
        <v>20</v>
      </c>
      <c r="C42" s="7">
        <v>506035710</v>
      </c>
      <c r="D42" s="7">
        <v>442483927</v>
      </c>
    </row>
    <row r="43" spans="1:6" x14ac:dyDescent="0.25">
      <c r="A43" s="6" t="s">
        <v>37</v>
      </c>
      <c r="B43" s="73">
        <v>20</v>
      </c>
      <c r="C43" s="7">
        <v>6581251</v>
      </c>
      <c r="D43" s="7">
        <v>14565750</v>
      </c>
      <c r="F43" s="29" t="s">
        <v>206</v>
      </c>
    </row>
    <row r="44" spans="1:6" x14ac:dyDescent="0.25">
      <c r="A44" s="6" t="s">
        <v>38</v>
      </c>
      <c r="B44" s="73">
        <v>22</v>
      </c>
      <c r="C44" s="7">
        <v>16411963</v>
      </c>
      <c r="D44" s="7">
        <v>14627018</v>
      </c>
      <c r="F44" s="29" t="s">
        <v>207</v>
      </c>
    </row>
    <row r="45" spans="1:6" x14ac:dyDescent="0.25">
      <c r="A45" s="16" t="s">
        <v>39</v>
      </c>
      <c r="B45" s="73">
        <v>11</v>
      </c>
      <c r="C45" s="7">
        <v>41427492</v>
      </c>
      <c r="D45" s="7">
        <v>23003709</v>
      </c>
    </row>
    <row r="46" spans="1:6" x14ac:dyDescent="0.25">
      <c r="A46" s="16" t="s">
        <v>40</v>
      </c>
      <c r="B46" s="73">
        <v>29</v>
      </c>
      <c r="C46" s="7">
        <v>3774864</v>
      </c>
      <c r="D46" s="7">
        <v>2771471</v>
      </c>
    </row>
    <row r="47" spans="1:6" x14ac:dyDescent="0.25">
      <c r="A47" s="16" t="s">
        <v>41</v>
      </c>
      <c r="B47" s="73">
        <v>21</v>
      </c>
      <c r="C47" s="7">
        <v>14390330</v>
      </c>
      <c r="D47" s="7">
        <v>5025260</v>
      </c>
    </row>
    <row r="48" spans="1:6" x14ac:dyDescent="0.25">
      <c r="A48" s="17" t="s">
        <v>42</v>
      </c>
      <c r="B48" s="83"/>
      <c r="C48" s="10">
        <f>SUM(C41:C47)</f>
        <v>622121610</v>
      </c>
      <c r="D48" s="10">
        <f>SUM(D41:D47)</f>
        <v>541977135</v>
      </c>
    </row>
    <row r="49" spans="1:6" x14ac:dyDescent="0.25">
      <c r="A49" s="15" t="s">
        <v>43</v>
      </c>
      <c r="B49" s="80"/>
      <c r="C49" s="12"/>
      <c r="D49" s="12"/>
    </row>
    <row r="50" spans="1:6" x14ac:dyDescent="0.25">
      <c r="A50" s="16" t="s">
        <v>35</v>
      </c>
      <c r="B50" s="73">
        <v>20</v>
      </c>
      <c r="C50" s="7">
        <v>6536505</v>
      </c>
      <c r="D50" s="7">
        <v>6216583</v>
      </c>
    </row>
    <row r="51" spans="1:6" x14ac:dyDescent="0.25">
      <c r="A51" s="16" t="s">
        <v>36</v>
      </c>
      <c r="B51" s="73">
        <v>20</v>
      </c>
      <c r="C51" s="7">
        <v>128811525</v>
      </c>
      <c r="D51" s="7">
        <v>94830698</v>
      </c>
    </row>
    <row r="52" spans="1:6" x14ac:dyDescent="0.25">
      <c r="A52" s="16" t="s">
        <v>37</v>
      </c>
      <c r="B52" s="73">
        <v>20</v>
      </c>
      <c r="C52" s="7">
        <v>5511090</v>
      </c>
      <c r="D52" s="7">
        <v>3121502</v>
      </c>
    </row>
    <row r="53" spans="1:6" x14ac:dyDescent="0.25">
      <c r="A53" s="16" t="s">
        <v>44</v>
      </c>
      <c r="B53" s="73">
        <v>23</v>
      </c>
      <c r="C53" s="7">
        <v>123710486</v>
      </c>
      <c r="D53" s="7">
        <v>95373275</v>
      </c>
    </row>
    <row r="54" spans="1:6" x14ac:dyDescent="0.25">
      <c r="A54" s="16" t="s">
        <v>45</v>
      </c>
      <c r="B54" s="73">
        <v>25</v>
      </c>
      <c r="C54" s="7">
        <v>5670445</v>
      </c>
      <c r="D54" s="7">
        <v>0</v>
      </c>
      <c r="F54" s="1" t="s">
        <v>204</v>
      </c>
    </row>
    <row r="55" spans="1:6" x14ac:dyDescent="0.25">
      <c r="A55" s="16" t="s">
        <v>46</v>
      </c>
      <c r="B55" s="73">
        <v>24</v>
      </c>
      <c r="C55" s="7">
        <v>29391301</v>
      </c>
      <c r="D55" s="7">
        <v>24056514</v>
      </c>
    </row>
    <row r="56" spans="1:6" x14ac:dyDescent="0.25">
      <c r="A56" s="16" t="s">
        <v>47</v>
      </c>
      <c r="B56" s="73">
        <v>15</v>
      </c>
      <c r="C56" s="7">
        <v>25228590</v>
      </c>
      <c r="D56" s="7">
        <v>7740745</v>
      </c>
    </row>
    <row r="57" spans="1:6" x14ac:dyDescent="0.25">
      <c r="A57" s="16" t="s">
        <v>48</v>
      </c>
      <c r="B57" s="73">
        <v>26</v>
      </c>
      <c r="C57" s="7">
        <v>20677215</v>
      </c>
      <c r="D57" s="7">
        <v>40398914</v>
      </c>
      <c r="F57" s="1" t="s">
        <v>205</v>
      </c>
    </row>
    <row r="58" spans="1:6" x14ac:dyDescent="0.25">
      <c r="A58" s="16" t="s">
        <v>13</v>
      </c>
      <c r="B58" s="73">
        <v>27</v>
      </c>
      <c r="C58" s="7">
        <v>2933358</v>
      </c>
      <c r="D58" s="7">
        <v>1806065</v>
      </c>
    </row>
    <row r="59" spans="1:6" x14ac:dyDescent="0.25">
      <c r="A59" s="17" t="s">
        <v>49</v>
      </c>
      <c r="B59" s="83"/>
      <c r="C59" s="10">
        <f>SUM(C50:C58)</f>
        <v>348470515</v>
      </c>
      <c r="D59" s="10">
        <f>SUM(D50:D58)</f>
        <v>273544296</v>
      </c>
    </row>
    <row r="60" spans="1:6" x14ac:dyDescent="0.25">
      <c r="A60" s="18"/>
      <c r="B60" s="74"/>
      <c r="C60" s="10"/>
      <c r="D60" s="10"/>
    </row>
    <row r="61" spans="1:6" x14ac:dyDescent="0.25">
      <c r="A61" s="18" t="s">
        <v>50</v>
      </c>
      <c r="B61" s="74"/>
      <c r="C61" s="10">
        <f>+C59+C48</f>
        <v>970592125</v>
      </c>
      <c r="D61" s="10">
        <f>+D59+D48</f>
        <v>815521431</v>
      </c>
    </row>
    <row r="62" spans="1:6" x14ac:dyDescent="0.25">
      <c r="A62" s="18"/>
      <c r="B62" s="74"/>
      <c r="C62" s="10"/>
      <c r="D62" s="10"/>
    </row>
    <row r="63" spans="1:6" x14ac:dyDescent="0.25">
      <c r="A63" s="19" t="s">
        <v>51</v>
      </c>
      <c r="B63" s="86"/>
      <c r="C63" s="10">
        <f>+C59+C48+C38</f>
        <v>1492189274</v>
      </c>
      <c r="D63" s="10">
        <f>+D59+D48+D38</f>
        <v>1210088507</v>
      </c>
    </row>
    <row r="64" spans="1:6" x14ac:dyDescent="0.25">
      <c r="A64" s="20"/>
      <c r="B64" s="84"/>
      <c r="C64" s="21"/>
      <c r="D64" s="21"/>
    </row>
    <row r="65" spans="1:6" x14ac:dyDescent="0.25">
      <c r="A65" s="20"/>
      <c r="B65" s="84"/>
      <c r="C65" s="22"/>
      <c r="D65" s="23"/>
    </row>
    <row r="66" spans="1:6" ht="15" x14ac:dyDescent="0.25">
      <c r="A66" s="93" t="s">
        <v>80</v>
      </c>
      <c r="B66" s="93"/>
      <c r="C66" s="93"/>
      <c r="D66" s="93"/>
    </row>
    <row r="67" spans="1:6" ht="12.75" customHeight="1" x14ac:dyDescent="0.25">
      <c r="A67" s="54" t="s">
        <v>79</v>
      </c>
      <c r="B67" s="81" t="s">
        <v>0</v>
      </c>
      <c r="C67" s="55">
        <v>43465</v>
      </c>
      <c r="D67" s="55">
        <v>43100</v>
      </c>
    </row>
    <row r="68" spans="1:6" x14ac:dyDescent="0.25">
      <c r="A68" s="4" t="s">
        <v>52</v>
      </c>
      <c r="B68" s="75">
        <v>38</v>
      </c>
      <c r="C68" s="5">
        <v>768369799</v>
      </c>
      <c r="D68" s="5">
        <v>646661984</v>
      </c>
    </row>
    <row r="69" spans="1:6" x14ac:dyDescent="0.25">
      <c r="A69" s="6" t="s">
        <v>53</v>
      </c>
      <c r="B69" s="73">
        <v>38</v>
      </c>
      <c r="C69" s="7">
        <v>9241002</v>
      </c>
      <c r="D69" s="7">
        <v>9393176</v>
      </c>
    </row>
    <row r="70" spans="1:6" x14ac:dyDescent="0.25">
      <c r="A70" s="6" t="s">
        <v>54</v>
      </c>
      <c r="B70" s="73">
        <v>33</v>
      </c>
      <c r="C70" s="7">
        <v>7220151</v>
      </c>
      <c r="D70" s="7">
        <v>9723962</v>
      </c>
      <c r="F70" s="1" t="s">
        <v>196</v>
      </c>
    </row>
    <row r="71" spans="1:6" x14ac:dyDescent="0.25">
      <c r="A71" s="9" t="s">
        <v>118</v>
      </c>
      <c r="B71" s="82"/>
      <c r="C71" s="25">
        <f>SUM(C68:C70)</f>
        <v>784830952</v>
      </c>
      <c r="D71" s="25">
        <f>SUM(D68:D70)</f>
        <v>665779122</v>
      </c>
    </row>
    <row r="72" spans="1:6" x14ac:dyDescent="0.25">
      <c r="A72" s="6" t="s">
        <v>55</v>
      </c>
      <c r="B72" s="73">
        <v>10</v>
      </c>
      <c r="C72" s="24">
        <v>-255518399</v>
      </c>
      <c r="D72" s="24">
        <v>-257011270</v>
      </c>
    </row>
    <row r="73" spans="1:6" x14ac:dyDescent="0.25">
      <c r="A73" s="9" t="s">
        <v>56</v>
      </c>
      <c r="B73" s="82"/>
      <c r="C73" s="25">
        <f>SUM(C71:C72)</f>
        <v>529312553</v>
      </c>
      <c r="D73" s="25">
        <f>SUM(D71:D72)</f>
        <v>408767852</v>
      </c>
      <c r="F73" s="1" t="s">
        <v>152</v>
      </c>
    </row>
    <row r="74" spans="1:6" x14ac:dyDescent="0.25">
      <c r="A74" s="6" t="s">
        <v>57</v>
      </c>
      <c r="B74" s="73">
        <v>40</v>
      </c>
      <c r="C74" s="24">
        <v>-187071077</v>
      </c>
      <c r="D74" s="24">
        <v>-166657700</v>
      </c>
    </row>
    <row r="75" spans="1:6" x14ac:dyDescent="0.25">
      <c r="A75" s="6" t="s">
        <v>58</v>
      </c>
      <c r="B75" s="73">
        <v>39</v>
      </c>
      <c r="C75" s="24">
        <v>-39527507</v>
      </c>
      <c r="D75" s="24">
        <v>-33953133</v>
      </c>
    </row>
    <row r="76" spans="1:6" x14ac:dyDescent="0.25">
      <c r="A76" s="6" t="s">
        <v>59</v>
      </c>
      <c r="B76" s="73">
        <v>34</v>
      </c>
      <c r="C76" s="24">
        <v>-12645400</v>
      </c>
      <c r="D76" s="24">
        <v>-8291278</v>
      </c>
      <c r="F76" s="1" t="s">
        <v>60</v>
      </c>
    </row>
    <row r="77" spans="1:6" x14ac:dyDescent="0.25">
      <c r="A77" s="6" t="s">
        <v>61</v>
      </c>
      <c r="B77" s="79" t="s">
        <v>153</v>
      </c>
      <c r="C77" s="7">
        <v>30808977</v>
      </c>
      <c r="D77" s="7">
        <v>2528831</v>
      </c>
      <c r="F77" s="1" t="s">
        <v>62</v>
      </c>
    </row>
    <row r="78" spans="1:6" x14ac:dyDescent="0.25">
      <c r="A78" s="26" t="s">
        <v>63</v>
      </c>
      <c r="B78" s="83"/>
      <c r="C78" s="10">
        <f>SUM(C73:C77)</f>
        <v>320877546</v>
      </c>
      <c r="D78" s="10">
        <f>SUM(D73:D77)</f>
        <v>202394572</v>
      </c>
    </row>
    <row r="79" spans="1:6" x14ac:dyDescent="0.25">
      <c r="A79" s="6" t="s">
        <v>64</v>
      </c>
      <c r="B79" s="73">
        <v>36</v>
      </c>
      <c r="C79" s="24">
        <v>-60204233</v>
      </c>
      <c r="D79" s="24">
        <v>-53692173</v>
      </c>
    </row>
    <row r="80" spans="1:6" x14ac:dyDescent="0.25">
      <c r="A80" s="6" t="s">
        <v>65</v>
      </c>
      <c r="B80" s="73">
        <v>10</v>
      </c>
      <c r="C80" s="7">
        <v>3269040</v>
      </c>
      <c r="D80" s="24">
        <v>-8934306</v>
      </c>
      <c r="F80" s="1" t="s">
        <v>66</v>
      </c>
    </row>
    <row r="81" spans="1:6" x14ac:dyDescent="0.25">
      <c r="A81" s="6" t="s">
        <v>67</v>
      </c>
      <c r="B81" s="73">
        <v>21</v>
      </c>
      <c r="C81" s="24">
        <v>-655445</v>
      </c>
      <c r="D81" s="7">
        <v>166829</v>
      </c>
    </row>
    <row r="82" spans="1:6" x14ac:dyDescent="0.25">
      <c r="A82" s="26" t="s">
        <v>68</v>
      </c>
      <c r="B82" s="83"/>
      <c r="C82" s="10">
        <f>SUM(C78:C81)</f>
        <v>263286908</v>
      </c>
      <c r="D82" s="10">
        <f>SUM(D78:D81)</f>
        <v>139934922</v>
      </c>
    </row>
    <row r="83" spans="1:6" x14ac:dyDescent="0.25">
      <c r="A83" s="6" t="s">
        <v>69</v>
      </c>
      <c r="B83" s="73">
        <v>35</v>
      </c>
      <c r="C83" s="24">
        <v>-20710368</v>
      </c>
      <c r="D83" s="24">
        <v>-26328552</v>
      </c>
      <c r="F83" s="1" t="s">
        <v>192</v>
      </c>
    </row>
    <row r="84" spans="1:6" x14ac:dyDescent="0.25">
      <c r="A84" s="6" t="s">
        <v>70</v>
      </c>
      <c r="B84" s="73">
        <v>35</v>
      </c>
      <c r="C84" s="7">
        <v>8063227</v>
      </c>
      <c r="D84" s="7">
        <v>4982170</v>
      </c>
    </row>
    <row r="85" spans="1:6" x14ac:dyDescent="0.25">
      <c r="A85" s="26" t="s">
        <v>71</v>
      </c>
      <c r="B85" s="83"/>
      <c r="C85" s="10">
        <f>SUM(C82:C84)</f>
        <v>250639767</v>
      </c>
      <c r="D85" s="10">
        <f>SUM(D82:D84)</f>
        <v>118588540</v>
      </c>
    </row>
    <row r="86" spans="1:6" x14ac:dyDescent="0.25">
      <c r="A86" s="6" t="s">
        <v>72</v>
      </c>
      <c r="B86" s="73">
        <v>11</v>
      </c>
      <c r="C86" s="24">
        <v>-56142414</v>
      </c>
      <c r="D86" s="24">
        <v>-22520372</v>
      </c>
    </row>
    <row r="87" spans="1:6" x14ac:dyDescent="0.25">
      <c r="A87" s="9" t="s">
        <v>119</v>
      </c>
      <c r="B87" s="83"/>
      <c r="C87" s="10">
        <f>SUM(C85:C86)</f>
        <v>194497353</v>
      </c>
      <c r="D87" s="10">
        <f>SUM(D85:D86)</f>
        <v>96068168</v>
      </c>
    </row>
    <row r="88" spans="1:6" x14ac:dyDescent="0.25">
      <c r="A88" s="9"/>
      <c r="B88" s="83"/>
      <c r="C88" s="10"/>
      <c r="D88" s="10"/>
    </row>
    <row r="89" spans="1:6" x14ac:dyDescent="0.25">
      <c r="A89" s="6" t="s">
        <v>73</v>
      </c>
      <c r="B89" s="87"/>
      <c r="C89" s="27"/>
      <c r="D89" s="27"/>
    </row>
    <row r="90" spans="1:6" x14ac:dyDescent="0.25">
      <c r="A90" s="6" t="s">
        <v>74</v>
      </c>
      <c r="B90" s="73">
        <v>37</v>
      </c>
      <c r="C90" s="7">
        <v>194497353</v>
      </c>
      <c r="D90" s="7">
        <v>96068168</v>
      </c>
    </row>
    <row r="91" spans="1:6" x14ac:dyDescent="0.25">
      <c r="A91" s="6" t="s">
        <v>31</v>
      </c>
      <c r="B91" s="87"/>
      <c r="C91" s="8" t="s">
        <v>10</v>
      </c>
      <c r="D91" s="8" t="s">
        <v>10</v>
      </c>
    </row>
    <row r="92" spans="1:6" x14ac:dyDescent="0.25">
      <c r="A92" s="27"/>
      <c r="B92" s="87"/>
      <c r="C92" s="7">
        <v>194497353</v>
      </c>
      <c r="D92" s="7">
        <v>96068168</v>
      </c>
    </row>
    <row r="93" spans="1:6" x14ac:dyDescent="0.25">
      <c r="A93" s="6" t="s">
        <v>75</v>
      </c>
      <c r="B93" s="87"/>
      <c r="C93" s="27"/>
      <c r="D93" s="27"/>
    </row>
    <row r="94" spans="1:6" x14ac:dyDescent="0.25">
      <c r="A94" s="6" t="s">
        <v>76</v>
      </c>
      <c r="B94" s="73">
        <v>37</v>
      </c>
      <c r="C94" s="28">
        <v>0.95</v>
      </c>
      <c r="D94" s="28">
        <v>0.47</v>
      </c>
    </row>
    <row r="95" spans="1:6" x14ac:dyDescent="0.25">
      <c r="A95" s="6" t="s">
        <v>77</v>
      </c>
      <c r="B95" s="73">
        <v>37</v>
      </c>
      <c r="C95" s="28">
        <v>0.95</v>
      </c>
      <c r="D95" s="28">
        <v>0.47</v>
      </c>
    </row>
    <row r="96" spans="1:6" x14ac:dyDescent="0.25">
      <c r="A96" s="29"/>
      <c r="C96" s="29"/>
      <c r="D96" s="29"/>
    </row>
    <row r="97" spans="1:4" x14ac:dyDescent="0.25">
      <c r="A97" s="29"/>
      <c r="C97" s="29"/>
      <c r="D97" s="29"/>
    </row>
    <row r="98" spans="1:4" x14ac:dyDescent="0.25">
      <c r="A98" s="29"/>
      <c r="C98" s="29"/>
      <c r="D98" s="29"/>
    </row>
    <row r="99" spans="1:4" x14ac:dyDescent="0.25">
      <c r="A99" s="6" t="s">
        <v>112</v>
      </c>
      <c r="B99" s="73"/>
      <c r="C99" s="28">
        <v>205.13</v>
      </c>
      <c r="D99" s="28">
        <v>205.13</v>
      </c>
    </row>
    <row r="100" spans="1:4" x14ac:dyDescent="0.25">
      <c r="A100" s="6" t="s">
        <v>111</v>
      </c>
      <c r="B100" s="73"/>
      <c r="C100" s="28">
        <v>5.8</v>
      </c>
      <c r="D100" s="28">
        <v>5.1710000000000003</v>
      </c>
    </row>
    <row r="101" spans="1:4" x14ac:dyDescent="0.25">
      <c r="A101" s="6" t="s">
        <v>113</v>
      </c>
      <c r="B101" s="73"/>
      <c r="C101" s="50">
        <f>+C100*C99</f>
        <v>1189.7539999999999</v>
      </c>
      <c r="D101" s="50">
        <f>+D100*D99</f>
        <v>1060.72723</v>
      </c>
    </row>
  </sheetData>
  <mergeCells count="3">
    <mergeCell ref="A1:D1"/>
    <mergeCell ref="A4:D4"/>
    <mergeCell ref="A66:D6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6792-A264-423F-9818-83B492CE3F68}">
  <dimension ref="A1:H55"/>
  <sheetViews>
    <sheetView showGridLines="0" zoomScale="85" zoomScaleNormal="85" workbookViewId="0"/>
  </sheetViews>
  <sheetFormatPr defaultColWidth="8.7109375" defaultRowHeight="12.75" x14ac:dyDescent="0.25"/>
  <cols>
    <col min="1" max="1" width="37.42578125" style="30" bestFit="1" customWidth="1"/>
    <col min="2" max="3" width="12.140625" style="31" customWidth="1"/>
    <col min="4" max="4" width="2.42578125" style="30" customWidth="1"/>
    <col min="5" max="5" width="12.140625" style="31" customWidth="1"/>
    <col min="6" max="6" width="2.42578125" style="30" customWidth="1"/>
    <col min="7" max="7" width="81.28515625" style="100" customWidth="1"/>
    <col min="8" max="16384" width="8.7109375" style="30"/>
  </cols>
  <sheetData>
    <row r="1" spans="1:7" x14ac:dyDescent="0.25">
      <c r="A1" s="48"/>
    </row>
    <row r="2" spans="1:7" x14ac:dyDescent="0.25">
      <c r="A2" s="69" t="s">
        <v>106</v>
      </c>
      <c r="B2" s="72">
        <v>43465</v>
      </c>
      <c r="C2" s="57">
        <v>43100</v>
      </c>
      <c r="E2" s="63" t="s">
        <v>131</v>
      </c>
      <c r="G2" s="63" t="s">
        <v>0</v>
      </c>
    </row>
    <row r="3" spans="1:7" x14ac:dyDescent="0.25">
      <c r="A3" s="43" t="s">
        <v>107</v>
      </c>
      <c r="B3" s="42"/>
      <c r="C3" s="41"/>
      <c r="E3" s="65"/>
      <c r="G3" s="101"/>
    </row>
    <row r="4" spans="1:7" x14ac:dyDescent="0.25">
      <c r="A4" s="40" t="s">
        <v>108</v>
      </c>
      <c r="B4" s="49">
        <f>+'Financial Statements'!C27-'Financial Statements'!C59</f>
        <v>127159332</v>
      </c>
      <c r="C4" s="66">
        <f>+'Financial Statements'!D27-'Financial Statements'!D59</f>
        <v>109582798</v>
      </c>
      <c r="E4" s="61"/>
      <c r="G4" s="102"/>
    </row>
    <row r="5" spans="1:7" x14ac:dyDescent="0.25">
      <c r="A5" s="37" t="s">
        <v>109</v>
      </c>
      <c r="B5" s="49">
        <f>+('Financial Statements'!C27-'Financial Statements'!C26)-('Financial Statements'!C59-'Financial Statements'!C55-'Financial Statements'!C50-'Financial Statements'!C51)</f>
        <v>51132795</v>
      </c>
      <c r="C5" s="66">
        <f>+('Financial Statements'!D27-'Financial Statements'!D26)-('Financial Statements'!D59-'Financial Statements'!D55-'Financial Statements'!D50-'Financial Statements'!D51)</f>
        <v>41086856</v>
      </c>
      <c r="E5" s="61"/>
      <c r="G5" s="102"/>
    </row>
    <row r="6" spans="1:7" x14ac:dyDescent="0.25">
      <c r="A6" s="46"/>
      <c r="B6" s="39"/>
      <c r="C6" s="38"/>
      <c r="E6" s="60"/>
      <c r="G6" s="103"/>
    </row>
    <row r="7" spans="1:7" x14ac:dyDescent="0.25">
      <c r="A7" s="43" t="s">
        <v>179</v>
      </c>
      <c r="B7" s="42"/>
      <c r="C7" s="41"/>
      <c r="E7" s="65"/>
      <c r="G7" s="101"/>
    </row>
    <row r="8" spans="1:7" x14ac:dyDescent="0.25">
      <c r="A8" s="46" t="s">
        <v>114</v>
      </c>
      <c r="B8" s="39">
        <f>+'Financial Statements'!C101*1000000/'Financial Statements'!C38</f>
        <v>2.2809825595883386</v>
      </c>
      <c r="C8" s="38">
        <f>+'Financial Statements'!D101*1000000/'Financial Statements'!D38</f>
        <v>2.6883318313157987</v>
      </c>
      <c r="E8" s="60"/>
      <c r="G8" s="103" t="s">
        <v>193</v>
      </c>
    </row>
    <row r="9" spans="1:7" x14ac:dyDescent="0.25">
      <c r="A9" s="46" t="s">
        <v>117</v>
      </c>
      <c r="B9" s="51">
        <f>+'Financial Statements'!C101</f>
        <v>1189.7539999999999</v>
      </c>
      <c r="C9" s="70">
        <f>+'Financial Statements'!D101</f>
        <v>1060.72723</v>
      </c>
      <c r="E9" s="59"/>
      <c r="G9" s="103" t="s">
        <v>193</v>
      </c>
    </row>
    <row r="10" spans="1:7" x14ac:dyDescent="0.25">
      <c r="A10" s="46" t="s">
        <v>115</v>
      </c>
      <c r="B10" s="51">
        <f>(+'Financial Statements'!C55+'Financial Statements'!C51+'Financial Statements'!C50+'Financial Statements'!C42+'Financial Statements'!C41-'Financial Statements'!C26)/1000000</f>
        <v>463.50917299999998</v>
      </c>
      <c r="C10" s="70">
        <f>(+'Financial Statements'!D55+'Financial Statements'!D51+'Financial Statements'!D50+'Financial Statements'!D42+'Financial Statements'!D41-'Financial Statements'!D26)/1000000</f>
        <v>413.48798499999998</v>
      </c>
      <c r="E10" s="59"/>
      <c r="G10" s="104"/>
    </row>
    <row r="11" spans="1:7" x14ac:dyDescent="0.25">
      <c r="A11" s="46" t="s">
        <v>116</v>
      </c>
      <c r="B11" s="51">
        <f>+B9-B10</f>
        <v>726.24482699999999</v>
      </c>
      <c r="C11" s="38">
        <f>+C9-C10</f>
        <v>647.23924499999998</v>
      </c>
      <c r="E11" s="60"/>
      <c r="G11" s="103"/>
    </row>
    <row r="12" spans="1:7" x14ac:dyDescent="0.25">
      <c r="A12" s="46" t="s">
        <v>124</v>
      </c>
      <c r="B12" s="51">
        <f>+B9*1000000/'Financial Statements'!C87</f>
        <v>6.1170703952973593</v>
      </c>
      <c r="C12" s="38">
        <f>+C9*1000000/'Financial Statements'!D87</f>
        <v>11.041401663868514</v>
      </c>
      <c r="E12" s="60"/>
      <c r="G12" s="103"/>
    </row>
    <row r="13" spans="1:7" x14ac:dyDescent="0.25">
      <c r="A13" s="46"/>
      <c r="B13" s="51"/>
      <c r="C13" s="38"/>
      <c r="E13" s="60"/>
      <c r="G13" s="103"/>
    </row>
    <row r="14" spans="1:7" x14ac:dyDescent="0.25">
      <c r="A14" s="43" t="s">
        <v>105</v>
      </c>
      <c r="B14" s="42"/>
      <c r="C14" s="41"/>
      <c r="E14" s="65"/>
      <c r="G14" s="101"/>
    </row>
    <row r="15" spans="1:7" x14ac:dyDescent="0.25">
      <c r="A15" s="40" t="s">
        <v>104</v>
      </c>
      <c r="B15" s="39">
        <f>+'Financial Statements'!C27/'Financial Statements'!C59</f>
        <v>1.3649070051163439</v>
      </c>
      <c r="C15" s="38">
        <f>+'Financial Statements'!D27/'Financial Statements'!D59</f>
        <v>1.4006034839783317</v>
      </c>
      <c r="E15" s="60" t="s">
        <v>142</v>
      </c>
      <c r="G15" s="103"/>
    </row>
    <row r="16" spans="1:7" x14ac:dyDescent="0.25">
      <c r="A16" s="37" t="s">
        <v>103</v>
      </c>
      <c r="B16" s="36">
        <f>+('Financial Statements'!C27-'Financial Statements'!C18-'Financial Statements'!C19)/'Financial Statements'!C59</f>
        <v>1.1637529706064227</v>
      </c>
      <c r="C16" s="35">
        <f>+('Financial Statements'!D27-'Financial Statements'!D18-'Financial Statements'!D19)/'Financial Statements'!D59</f>
        <v>1.21285978121803</v>
      </c>
      <c r="E16" s="58" t="s">
        <v>141</v>
      </c>
      <c r="G16" s="105"/>
    </row>
    <row r="17" spans="1:8" x14ac:dyDescent="0.25">
      <c r="A17" s="46" t="s">
        <v>102</v>
      </c>
      <c r="B17" s="45">
        <f>+'Financial Statements'!C26/'Financial Statements'!C59</f>
        <v>0.69092177856137982</v>
      </c>
      <c r="C17" s="44">
        <f>+'Financial Statements'!D26/'Financial Statements'!D59</f>
        <v>0.70774547241884367</v>
      </c>
      <c r="E17" s="62"/>
      <c r="G17" s="106" t="s">
        <v>194</v>
      </c>
    </row>
    <row r="18" spans="1:8" x14ac:dyDescent="0.25">
      <c r="A18" s="46"/>
      <c r="B18" s="45"/>
      <c r="C18" s="44"/>
      <c r="E18" s="62"/>
      <c r="G18" s="106"/>
    </row>
    <row r="19" spans="1:8" x14ac:dyDescent="0.25">
      <c r="A19" s="43" t="s">
        <v>101</v>
      </c>
      <c r="B19" s="42"/>
      <c r="C19" s="41"/>
      <c r="E19" s="65"/>
      <c r="G19" s="101"/>
    </row>
    <row r="20" spans="1:8" x14ac:dyDescent="0.25">
      <c r="A20" s="40" t="s">
        <v>100</v>
      </c>
      <c r="B20" s="39">
        <f>+'Financial Statements'!C71/'Financial Statements'!C63</f>
        <v>0.52595938442591972</v>
      </c>
      <c r="C20" s="38">
        <f>+'Financial Statements'!D71/'Financial Statements'!D63</f>
        <v>0.55019043495468878</v>
      </c>
      <c r="E20" s="60" t="s">
        <v>137</v>
      </c>
      <c r="G20" s="103"/>
    </row>
    <row r="21" spans="1:8" x14ac:dyDescent="0.25">
      <c r="A21" s="40" t="s">
        <v>120</v>
      </c>
      <c r="B21" s="39">
        <f>+'Financial Statements'!C71/('Financial Statements'!C6+'Financial Statements'!C5)</f>
        <v>1.2000776484450504</v>
      </c>
      <c r="C21" s="38">
        <f>+'Financial Statements'!D71/('Financial Statements'!D6+'Financial Statements'!D5)</f>
        <v>1.3549612043800345</v>
      </c>
      <c r="E21" s="60" t="s">
        <v>150</v>
      </c>
      <c r="G21" s="103" t="s">
        <v>195</v>
      </c>
    </row>
    <row r="22" spans="1:8" x14ac:dyDescent="0.25">
      <c r="A22" s="37" t="s">
        <v>99</v>
      </c>
      <c r="B22" s="36">
        <f>365/B23</f>
        <v>6.4955885825993702</v>
      </c>
      <c r="C22" s="35">
        <f>365/C23</f>
        <v>5.8770444897656642</v>
      </c>
      <c r="E22" s="58" t="s">
        <v>145</v>
      </c>
      <c r="G22" s="105"/>
    </row>
    <row r="23" spans="1:8" x14ac:dyDescent="0.25">
      <c r="A23" s="37" t="s">
        <v>98</v>
      </c>
      <c r="B23" s="52">
        <f>+'Financial Statements'!C20/('Financial Statements'!C71/365)</f>
        <v>56.191982506062018</v>
      </c>
      <c r="C23" s="56">
        <f>+'Financial Statements'!D20/('Financial Statements'!D71/365)</f>
        <v>62.106046778378847</v>
      </c>
      <c r="E23" s="71" t="s">
        <v>146</v>
      </c>
      <c r="G23" s="107"/>
    </row>
    <row r="24" spans="1:8" x14ac:dyDescent="0.25">
      <c r="A24" s="37" t="s">
        <v>97</v>
      </c>
      <c r="B24" s="36">
        <f>365/B25</f>
        <v>3.6452506232501736</v>
      </c>
      <c r="C24" s="35">
        <f>365/C25</f>
        <v>5.0044819304162562</v>
      </c>
      <c r="E24" s="58" t="s">
        <v>147</v>
      </c>
      <c r="G24" s="105" t="s">
        <v>208</v>
      </c>
    </row>
    <row r="25" spans="1:8" x14ac:dyDescent="0.25">
      <c r="A25" s="37" t="s">
        <v>96</v>
      </c>
      <c r="B25" s="52">
        <f>+('Financial Statements'!C18+'Financial Statements'!C19)/(-'Financial Statements'!C72/365)</f>
        <v>100.13028944346196</v>
      </c>
      <c r="C25" s="56">
        <f>+('Financial Statements'!D18+'Financial Statements'!D19)/(-'Financial Statements'!D72/365)</f>
        <v>72.934622419476</v>
      </c>
      <c r="E25" s="71" t="s">
        <v>148</v>
      </c>
      <c r="G25" s="105" t="s">
        <v>208</v>
      </c>
    </row>
    <row r="26" spans="1:8" x14ac:dyDescent="0.25">
      <c r="A26" s="37" t="s">
        <v>95</v>
      </c>
      <c r="B26" s="36">
        <f>365/B27</f>
        <v>2.0654546535368068</v>
      </c>
      <c r="C26" s="35">
        <f>365/C27</f>
        <v>2.6947933789628178</v>
      </c>
      <c r="E26" s="58"/>
      <c r="G26" s="105" t="s">
        <v>208</v>
      </c>
    </row>
    <row r="27" spans="1:8" x14ac:dyDescent="0.25">
      <c r="A27" s="37" t="s">
        <v>94</v>
      </c>
      <c r="B27" s="52">
        <f>+'Financial Statements'!C53/(-'Financial Statements'!C72/365)</f>
        <v>176.71654004845263</v>
      </c>
      <c r="C27" s="56">
        <f>+'Financial Statements'!D53/(-'Financial Statements'!D72/365)</f>
        <v>135.44637702074309</v>
      </c>
      <c r="E27" s="71" t="s">
        <v>149</v>
      </c>
      <c r="G27" s="105" t="s">
        <v>208</v>
      </c>
    </row>
    <row r="28" spans="1:8" x14ac:dyDescent="0.25">
      <c r="A28" s="37" t="s">
        <v>93</v>
      </c>
      <c r="B28" s="52">
        <f>+B23+B25</f>
        <v>156.32227194952398</v>
      </c>
      <c r="C28" s="56">
        <f>+C23+C25</f>
        <v>135.04066919785484</v>
      </c>
      <c r="E28" s="71"/>
      <c r="G28" s="107"/>
    </row>
    <row r="29" spans="1:8" x14ac:dyDescent="0.25">
      <c r="A29" s="37" t="s">
        <v>92</v>
      </c>
      <c r="B29" s="52">
        <f>+B28-B27</f>
        <v>-20.394268098928649</v>
      </c>
      <c r="C29" s="56">
        <f>+C28-C27</f>
        <v>-0.40570782288824603</v>
      </c>
      <c r="E29" s="71"/>
      <c r="G29" s="107"/>
    </row>
    <row r="30" spans="1:8" x14ac:dyDescent="0.25">
      <c r="A30" s="46"/>
      <c r="B30" s="51"/>
      <c r="C30" s="38"/>
      <c r="E30" s="60"/>
      <c r="G30" s="103"/>
    </row>
    <row r="31" spans="1:8" x14ac:dyDescent="0.25">
      <c r="A31" s="43" t="s">
        <v>91</v>
      </c>
      <c r="B31" s="42"/>
      <c r="C31" s="41"/>
      <c r="E31" s="65"/>
      <c r="G31" s="101"/>
    </row>
    <row r="32" spans="1:8" x14ac:dyDescent="0.25">
      <c r="A32" s="40" t="s">
        <v>90</v>
      </c>
      <c r="B32" s="47">
        <f>+'Financial Statements'!C73/'Financial Statements'!C71</f>
        <v>0.67442874373282868</v>
      </c>
      <c r="C32" s="64">
        <f>+'Financial Statements'!D73/'Financial Statements'!D71</f>
        <v>0.6139691655876226</v>
      </c>
      <c r="E32" s="68" t="s">
        <v>133</v>
      </c>
      <c r="G32" s="108" t="s">
        <v>209</v>
      </c>
      <c r="H32" s="30" t="s">
        <v>197</v>
      </c>
    </row>
    <row r="33" spans="1:7" x14ac:dyDescent="0.25">
      <c r="A33" s="37" t="s">
        <v>89</v>
      </c>
      <c r="B33" s="47">
        <f>+'Financial Statements'!C78/'Financial Statements'!C71</f>
        <v>0.40884924987005355</v>
      </c>
      <c r="C33" s="64">
        <f>+'Financial Statements'!D78/'Financial Statements'!D71</f>
        <v>0.30399657380665057</v>
      </c>
      <c r="E33" s="68" t="s">
        <v>134</v>
      </c>
      <c r="G33" s="108"/>
    </row>
    <row r="34" spans="1:7" x14ac:dyDescent="0.25">
      <c r="A34" s="37" t="s">
        <v>88</v>
      </c>
      <c r="B34" s="47">
        <f>+'Financial Statements'!C82/'Financial Statements'!C71</f>
        <v>0.33546957765753355</v>
      </c>
      <c r="C34" s="64">
        <f>+'Financial Statements'!D82/'Financial Statements'!D71</f>
        <v>0.21018220213880481</v>
      </c>
      <c r="E34" s="68" t="s">
        <v>135</v>
      </c>
      <c r="G34" s="108"/>
    </row>
    <row r="35" spans="1:7" x14ac:dyDescent="0.25">
      <c r="A35" s="37" t="s">
        <v>87</v>
      </c>
      <c r="B35" s="47">
        <f>+'Financial Statements'!C87/'Financial Statements'!C71</f>
        <v>0.2478206962969014</v>
      </c>
      <c r="C35" s="64">
        <f>+'Financial Statements'!D87/'Financial Statements'!D71</f>
        <v>0.14429435352585299</v>
      </c>
      <c r="E35" s="68" t="s">
        <v>136</v>
      </c>
      <c r="G35" s="108"/>
    </row>
    <row r="36" spans="1:7" x14ac:dyDescent="0.25">
      <c r="A36" s="37" t="s">
        <v>85</v>
      </c>
      <c r="B36" s="36">
        <f>+'Financial Statements'!C87/('Financial Statements'!C99*1000000)</f>
        <v>0.94816629941988007</v>
      </c>
      <c r="C36" s="35">
        <f>+'Financial Statements'!D87/('Financial Statements'!D99*1000000)</f>
        <v>0.4683282211280651</v>
      </c>
      <c r="E36" s="58"/>
      <c r="G36" s="105"/>
    </row>
    <row r="37" spans="1:7" x14ac:dyDescent="0.25">
      <c r="A37" s="37" t="s">
        <v>126</v>
      </c>
      <c r="B37" s="47">
        <f>+-'Financial Statements'!C86/'Financial Statements'!C85</f>
        <v>0.223996433893908</v>
      </c>
      <c r="C37" s="64">
        <f>+-'Financial Statements'!D86/'Financial Statements'!D85</f>
        <v>0.18990344260920997</v>
      </c>
      <c r="E37" s="68"/>
      <c r="G37" s="108"/>
    </row>
    <row r="38" spans="1:7" x14ac:dyDescent="0.25">
      <c r="A38" s="37" t="s">
        <v>125</v>
      </c>
      <c r="B38" s="47">
        <f>+'Financial Statements'!C82*(1-Ratios!B37)/('Financial Statements'!C38+Ratios!B10*1000000)</f>
        <v>0.20740053632205455</v>
      </c>
      <c r="C38" s="64">
        <f>+'Financial Statements'!D82*(1-Ratios!C37)/('Financial Statements'!D38+Ratios!C10*1000000)</f>
        <v>0.14028845810415477</v>
      </c>
      <c r="E38" s="68"/>
      <c r="G38" s="108"/>
    </row>
    <row r="39" spans="1:7" x14ac:dyDescent="0.25">
      <c r="A39" s="37" t="s">
        <v>86</v>
      </c>
      <c r="B39" s="47">
        <f>+'Financial Statements'!C87/'Financial Statements'!C38</f>
        <v>0.37288806768382088</v>
      </c>
      <c r="C39" s="64">
        <f>+'Financial Statements'!D87/'Financial Statements'!D38</f>
        <v>0.2434774056008667</v>
      </c>
      <c r="E39" s="68" t="s">
        <v>139</v>
      </c>
      <c r="G39" s="108"/>
    </row>
    <row r="40" spans="1:7" x14ac:dyDescent="0.25">
      <c r="A40" s="53" t="s">
        <v>127</v>
      </c>
      <c r="B40" s="47"/>
      <c r="C40" s="64"/>
      <c r="E40" s="68"/>
      <c r="G40" s="108" t="s">
        <v>198</v>
      </c>
    </row>
    <row r="41" spans="1:7" x14ac:dyDescent="0.25">
      <c r="A41" s="37" t="s">
        <v>128</v>
      </c>
      <c r="B41" s="47">
        <f>+B35</f>
        <v>0.2478206962969014</v>
      </c>
      <c r="C41" s="64">
        <f>+C35</f>
        <v>0.14429435352585299</v>
      </c>
      <c r="E41" s="68"/>
      <c r="G41" s="108"/>
    </row>
    <row r="42" spans="1:7" x14ac:dyDescent="0.25">
      <c r="A42" s="37" t="s">
        <v>129</v>
      </c>
      <c r="B42" s="45">
        <f>+B20</f>
        <v>0.52595938442591972</v>
      </c>
      <c r="C42" s="44">
        <f>+C20</f>
        <v>0.55019043495468878</v>
      </c>
      <c r="E42" s="62"/>
      <c r="G42" s="106"/>
    </row>
    <row r="43" spans="1:7" x14ac:dyDescent="0.25">
      <c r="A43" s="37" t="s">
        <v>130</v>
      </c>
      <c r="B43" s="45">
        <f>+B52</f>
        <v>2.8608079566017719</v>
      </c>
      <c r="C43" s="44">
        <f>+C52</f>
        <v>3.0668765353346412</v>
      </c>
      <c r="E43" s="62"/>
      <c r="G43" s="106"/>
    </row>
    <row r="44" spans="1:7" x14ac:dyDescent="0.25">
      <c r="A44" s="37" t="s">
        <v>86</v>
      </c>
      <c r="B44" s="47">
        <f>+B41*B42*B43</f>
        <v>0.37288806768382088</v>
      </c>
      <c r="C44" s="64">
        <f>+C41*C42*C43</f>
        <v>0.2434774056008667</v>
      </c>
      <c r="E44" s="68"/>
      <c r="G44" s="108"/>
    </row>
    <row r="45" spans="1:7" x14ac:dyDescent="0.25">
      <c r="A45" s="46"/>
      <c r="B45" s="51"/>
      <c r="C45" s="38"/>
      <c r="E45" s="60"/>
      <c r="G45" s="103"/>
    </row>
    <row r="46" spans="1:7" x14ac:dyDescent="0.25">
      <c r="A46" s="43" t="s">
        <v>84</v>
      </c>
      <c r="B46" s="42"/>
      <c r="C46" s="41"/>
      <c r="E46" s="65"/>
      <c r="G46" s="101"/>
    </row>
    <row r="47" spans="1:7" x14ac:dyDescent="0.25">
      <c r="A47" s="40" t="s">
        <v>121</v>
      </c>
      <c r="B47" s="49">
        <f>(+'Financial Statements'!C55+'Financial Statements'!C51+'Financial Statements'!C50+'Financial Statements'!C42+'Financial Statements'!C41)</f>
        <v>704275041</v>
      </c>
      <c r="C47" s="66">
        <f>(+'Financial Statements'!D55+'Financial Statements'!D51+'Financial Statements'!D50+'Financial Statements'!D42+'Financial Statements'!D41)</f>
        <v>607087722</v>
      </c>
      <c r="E47" s="61"/>
      <c r="G47" s="102" t="s">
        <v>199</v>
      </c>
    </row>
    <row r="48" spans="1:7" x14ac:dyDescent="0.25">
      <c r="A48" s="37" t="s">
        <v>83</v>
      </c>
      <c r="B48" s="36">
        <f>+B47/'Financial Statements'!C38</f>
        <v>1.3502279342404917</v>
      </c>
      <c r="C48" s="35">
        <f>+C47/'Financial Statements'!D38</f>
        <v>1.5386172818940422</v>
      </c>
      <c r="E48" s="58" t="s">
        <v>143</v>
      </c>
      <c r="G48" s="105"/>
    </row>
    <row r="49" spans="1:7" x14ac:dyDescent="0.25">
      <c r="A49" s="37" t="s">
        <v>123</v>
      </c>
      <c r="B49" s="36">
        <f>+B47/(B47+'Financial Statements'!C38)</f>
        <v>0.57450935484554877</v>
      </c>
      <c r="C49" s="35">
        <f>+C47/(C47+'Financial Statements'!D38)</f>
        <v>0.60608477412794259</v>
      </c>
      <c r="E49" s="58"/>
      <c r="G49" s="105"/>
    </row>
    <row r="50" spans="1:7" x14ac:dyDescent="0.25">
      <c r="A50" s="37" t="s">
        <v>151</v>
      </c>
      <c r="B50" s="36">
        <f>+B10*1000000/'Financial Statements'!C78</f>
        <v>1.4445048548208481</v>
      </c>
      <c r="C50" s="35">
        <f>+C10*1000000/'Financial Statements'!D78</f>
        <v>2.0429796160738936</v>
      </c>
      <c r="E50" s="58" t="s">
        <v>144</v>
      </c>
      <c r="G50" s="105"/>
    </row>
    <row r="51" spans="1:7" x14ac:dyDescent="0.25">
      <c r="A51" s="46" t="s">
        <v>122</v>
      </c>
      <c r="B51" s="45">
        <f>+B47/(B11*1000000)</f>
        <v>0.96974878831047429</v>
      </c>
      <c r="C51" s="44">
        <f>+C47/(C11*1000000)</f>
        <v>0.93796494370485828</v>
      </c>
      <c r="E51" s="62"/>
      <c r="G51" s="106"/>
    </row>
    <row r="52" spans="1:7" x14ac:dyDescent="0.25">
      <c r="A52" s="46" t="s">
        <v>82</v>
      </c>
      <c r="B52" s="45">
        <f>+'Financial Statements'!C63/'Financial Statements'!C38</f>
        <v>2.8608079566017719</v>
      </c>
      <c r="C52" s="44">
        <f>+'Financial Statements'!D63/'Financial Statements'!D38</f>
        <v>3.0668765353346412</v>
      </c>
      <c r="E52" s="62" t="s">
        <v>138</v>
      </c>
      <c r="G52" s="106"/>
    </row>
    <row r="53" spans="1:7" x14ac:dyDescent="0.25">
      <c r="A53" s="46" t="s">
        <v>81</v>
      </c>
      <c r="B53" s="45">
        <f>+'Financial Statements'!C82/-'Financial Statements'!C83</f>
        <v>12.712806841481523</v>
      </c>
      <c r="C53" s="44">
        <f>+'Financial Statements'!D82/-'Financial Statements'!D83</f>
        <v>5.3149494130934354</v>
      </c>
      <c r="E53" s="62"/>
      <c r="G53" s="106" t="s">
        <v>203</v>
      </c>
    </row>
    <row r="54" spans="1:7" x14ac:dyDescent="0.25">
      <c r="A54" s="46" t="s">
        <v>200</v>
      </c>
      <c r="B54" s="110">
        <v>13042121</v>
      </c>
      <c r="C54" s="111">
        <v>14060438</v>
      </c>
      <c r="E54" s="62"/>
      <c r="G54" s="106" t="s">
        <v>202</v>
      </c>
    </row>
    <row r="55" spans="1:7" x14ac:dyDescent="0.25">
      <c r="A55" s="34" t="s">
        <v>201</v>
      </c>
      <c r="B55" s="33">
        <f>+'Financial Statements'!C82/B54</f>
        <v>20.187430250033717</v>
      </c>
      <c r="C55" s="32">
        <f>+'Financial Statements'!D82/C54</f>
        <v>9.9523871162477295</v>
      </c>
      <c r="E55" s="67"/>
      <c r="G55" s="10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AC785-9658-49C8-A618-715EE6F2F15B}">
  <dimension ref="A1:A25"/>
  <sheetViews>
    <sheetView showGridLines="0" zoomScaleNormal="100" workbookViewId="0"/>
  </sheetViews>
  <sheetFormatPr defaultRowHeight="15" x14ac:dyDescent="0.25"/>
  <sheetData>
    <row r="1" spans="1:1" s="88" customFormat="1" x14ac:dyDescent="0.25"/>
    <row r="2" spans="1:1" s="88" customFormat="1" x14ac:dyDescent="0.25"/>
    <row r="3" spans="1:1" s="88" customFormat="1" x14ac:dyDescent="0.25">
      <c r="A3" s="92" t="s">
        <v>154</v>
      </c>
    </row>
    <row r="4" spans="1:1" s="88" customFormat="1" x14ac:dyDescent="0.25">
      <c r="A4"/>
    </row>
    <row r="5" spans="1:1" s="88" customFormat="1" x14ac:dyDescent="0.25">
      <c r="A5"/>
    </row>
    <row r="6" spans="1:1" x14ac:dyDescent="0.25">
      <c r="A6" s="91" t="s">
        <v>140</v>
      </c>
    </row>
    <row r="7" spans="1:1" x14ac:dyDescent="0.25">
      <c r="A7" s="90" t="s">
        <v>155</v>
      </c>
    </row>
    <row r="8" spans="1:1" s="88" customFormat="1" x14ac:dyDescent="0.25">
      <c r="A8" s="90" t="s">
        <v>156</v>
      </c>
    </row>
    <row r="9" spans="1:1" s="88" customFormat="1" x14ac:dyDescent="0.25">
      <c r="A9" s="90" t="s">
        <v>157</v>
      </c>
    </row>
    <row r="10" spans="1:1" s="88" customFormat="1" x14ac:dyDescent="0.25">
      <c r="A10" s="90" t="s">
        <v>158</v>
      </c>
    </row>
    <row r="11" spans="1:1" s="88" customFormat="1" x14ac:dyDescent="0.25">
      <c r="A11" s="90" t="s">
        <v>159</v>
      </c>
    </row>
    <row r="12" spans="1:1" s="88" customFormat="1" x14ac:dyDescent="0.25">
      <c r="A12"/>
    </row>
    <row r="14" spans="1:1" x14ac:dyDescent="0.25">
      <c r="A14" s="91" t="s">
        <v>132</v>
      </c>
    </row>
    <row r="15" spans="1:1" x14ac:dyDescent="0.25">
      <c r="A15" s="90" t="s">
        <v>160</v>
      </c>
    </row>
    <row r="16" spans="1:1" s="88" customFormat="1" x14ac:dyDescent="0.25">
      <c r="A16" s="90" t="s">
        <v>161</v>
      </c>
    </row>
    <row r="17" spans="1:1" x14ac:dyDescent="0.25">
      <c r="A17" s="90" t="s">
        <v>162</v>
      </c>
    </row>
    <row r="18" spans="1:1" s="88" customFormat="1" x14ac:dyDescent="0.25">
      <c r="A18" s="90" t="s">
        <v>163</v>
      </c>
    </row>
    <row r="19" spans="1:1" s="88" customFormat="1" x14ac:dyDescent="0.25">
      <c r="A19"/>
    </row>
    <row r="22" spans="1:1" x14ac:dyDescent="0.25">
      <c r="A22" s="90" t="s">
        <v>164</v>
      </c>
    </row>
    <row r="25" spans="1:1" x14ac:dyDescent="0.25">
      <c r="A25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Guidelines</vt:lpstr>
      <vt:lpstr>Financial Statements</vt:lpstr>
      <vt:lpstr>Ratios</vt:lpstr>
      <vt:lpstr>Question 4</vt:lpstr>
      <vt:lpstr>'Financial Statements'!Print_Area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</dc:creator>
  <cp:lastModifiedBy>VB</cp:lastModifiedBy>
  <cp:lastPrinted>2020-03-03T15:24:29Z</cp:lastPrinted>
  <dcterms:created xsi:type="dcterms:W3CDTF">2020-03-03T14:30:15Z</dcterms:created>
  <dcterms:modified xsi:type="dcterms:W3CDTF">2020-03-28T02:03:50Z</dcterms:modified>
</cp:coreProperties>
</file>