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Docs\Textos\Próprios\ISEG\Financial Markets\2025-2026\"/>
    </mc:Choice>
  </mc:AlternateContent>
  <xr:revisionPtr revIDLastSave="0" documentId="8_{A39FC6B8-5746-4F65-B2DE-05CF13732B9B}" xr6:coauthVersionLast="47" xr6:coauthVersionMax="47" xr10:uidLastSave="{00000000-0000-0000-0000-000000000000}"/>
  <bookViews>
    <workbookView xWindow="-110" yWindow="-110" windowWidth="24220" windowHeight="1550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2" l="1"/>
  <c r="E46" i="2"/>
  <c r="F78" i="2"/>
  <c r="A97" i="2"/>
  <c r="D154" i="2"/>
  <c r="H128" i="2"/>
  <c r="H127" i="2"/>
  <c r="H126" i="2"/>
  <c r="H125" i="2"/>
  <c r="H124" i="2"/>
  <c r="A15" i="2"/>
  <c r="D87" i="2"/>
  <c r="D74" i="2"/>
  <c r="D75" i="2" s="1"/>
  <c r="D25" i="2"/>
  <c r="D29" i="2" s="1"/>
  <c r="G20" i="2"/>
  <c r="H20" i="2"/>
  <c r="G19" i="2"/>
  <c r="G6" i="2"/>
  <c r="F5" i="2"/>
  <c r="G5" i="2" s="1"/>
  <c r="H5" i="2" s="1"/>
  <c r="A4" i="2"/>
  <c r="D26" i="2" l="1"/>
  <c r="E29" i="2" s="1"/>
  <c r="J118" i="2"/>
  <c r="J128" i="2" s="1"/>
  <c r="J117" i="2"/>
  <c r="J127" i="2" s="1"/>
  <c r="J116" i="2"/>
  <c r="J115" i="2"/>
  <c r="J114" i="2"/>
  <c r="J124" i="2" s="1"/>
  <c r="E115" i="2"/>
  <c r="E116" i="2"/>
  <c r="E117" i="2"/>
  <c r="E118" i="2"/>
  <c r="E114" i="2"/>
  <c r="E124" i="2" s="1"/>
  <c r="D34" i="2" l="1"/>
  <c r="K112" i="2"/>
  <c r="K111" i="2"/>
  <c r="F112" i="2"/>
  <c r="F111" i="2"/>
  <c r="F117" i="2" l="1"/>
  <c r="E127" i="2" s="1"/>
  <c r="F116" i="2"/>
  <c r="E126" i="2" s="1"/>
  <c r="F115" i="2"/>
  <c r="E125" i="2" s="1"/>
  <c r="F118" i="2"/>
  <c r="E128" i="2" s="1"/>
  <c r="K116" i="2"/>
  <c r="J126" i="2" s="1"/>
  <c r="K115" i="2"/>
  <c r="K119" i="2" l="1"/>
  <c r="D155" i="2"/>
  <c r="D156" i="2"/>
  <c r="J125" i="2"/>
  <c r="F119" i="2"/>
  <c r="D120" i="2" s="1"/>
  <c r="D129" i="2" s="1"/>
  <c r="E137" i="2"/>
  <c r="J113" i="2"/>
  <c r="D158" i="2" l="1"/>
  <c r="I120" i="2"/>
  <c r="I129" i="2" s="1"/>
  <c r="I130" i="2" l="1"/>
  <c r="G17" i="2"/>
  <c r="H17" i="2"/>
  <c r="D81" i="2" l="1"/>
  <c r="D90" i="2" s="1"/>
  <c r="D93" i="2" s="1"/>
  <c r="D80" i="2"/>
  <c r="D42" i="2"/>
  <c r="D41" i="2"/>
  <c r="G30" i="2"/>
  <c r="F29" i="2"/>
  <c r="L18" i="2"/>
  <c r="M18" i="2" l="1"/>
  <c r="D89" i="2"/>
  <c r="D92" i="2" s="1"/>
  <c r="M19" i="2"/>
  <c r="G29" i="2" l="1"/>
  <c r="G41" i="2" s="1"/>
  <c r="G42" i="2"/>
  <c r="F41" i="2"/>
  <c r="F30" i="2" l="1"/>
  <c r="F42" i="2" l="1"/>
  <c r="I41" i="2" s="1" a="1"/>
  <c r="D130" i="2" l="1"/>
  <c r="I41" i="2"/>
  <c r="I42" i="2"/>
  <c r="J41" i="2"/>
  <c r="J42" i="2"/>
  <c r="D139" i="2" l="1"/>
  <c r="D45" i="2" a="1"/>
  <c r="D147" i="2" l="1"/>
  <c r="E147" i="2" s="1"/>
  <c r="D45" i="2"/>
  <c r="D46" i="2"/>
  <c r="D47" i="2" l="1"/>
  <c r="D55" i="2" s="1"/>
  <c r="J18" i="2" s="1"/>
  <c r="J19" i="2" l="1"/>
  <c r="F55" i="2"/>
  <c r="D62" i="2"/>
  <c r="D56" i="2"/>
  <c r="H29" i="2" l="1" a="1"/>
  <c r="G55" i="2"/>
  <c r="I55" i="2" s="1" a="1"/>
  <c r="J55" i="2" s="1"/>
  <c r="D63" i="2"/>
  <c r="D57" i="2"/>
  <c r="I29" i="2" l="1"/>
  <c r="H29" i="2"/>
  <c r="I55" i="2"/>
  <c r="D31" i="2" l="1"/>
  <c r="E63" i="2"/>
  <c r="E62" i="2"/>
  <c r="E64" i="2" l="1"/>
  <c r="D64" i="2"/>
</calcChain>
</file>

<file path=xl/sharedStrings.xml><?xml version="1.0" encoding="utf-8"?>
<sst xmlns="http://schemas.openxmlformats.org/spreadsheetml/2006/main" count="143" uniqueCount="102">
  <si>
    <t>Covariance</t>
  </si>
  <si>
    <r>
      <t>E[R</t>
    </r>
    <r>
      <rPr>
        <vertAlign val="subscript"/>
        <sz val="10"/>
        <color theme="1"/>
        <rFont val="Calibri"/>
        <family val="2"/>
      </rPr>
      <t>i</t>
    </r>
    <r>
      <rPr>
        <sz val="10"/>
        <color theme="1"/>
        <rFont val="Calibri"/>
        <family val="2"/>
      </rPr>
      <t>]</t>
    </r>
  </si>
  <si>
    <r>
      <t>s</t>
    </r>
    <r>
      <rPr>
        <vertAlign val="subscript"/>
        <sz val="10"/>
        <color theme="1"/>
        <rFont val="Calibri"/>
        <family val="2"/>
      </rPr>
      <t>i</t>
    </r>
  </si>
  <si>
    <t xml:space="preserve">Risk Free </t>
  </si>
  <si>
    <t>1)</t>
  </si>
  <si>
    <t>2)</t>
  </si>
  <si>
    <t>3)</t>
  </si>
  <si>
    <t>4)</t>
  </si>
  <si>
    <t>I</t>
  </si>
  <si>
    <t>II</t>
  </si>
  <si>
    <t>Ri-Rf</t>
  </si>
  <si>
    <t>Sum Zi</t>
  </si>
  <si>
    <t>Zi (solution)</t>
  </si>
  <si>
    <t>Xi</t>
  </si>
  <si>
    <t>Sum Xi</t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</si>
  <si>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</si>
  <si>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Symbol"/>
        <family val="1"/>
        <charset val="2"/>
      </rPr>
      <t>S</t>
    </r>
  </si>
  <si>
    <r>
      <t>Inverse variance-covariance Matrix (</t>
    </r>
    <r>
      <rPr>
        <b/>
        <sz val="11"/>
        <color theme="1"/>
        <rFont val="Symbol"/>
        <family val="1"/>
        <charset val="2"/>
      </rPr>
      <t>S</t>
    </r>
    <r>
      <rPr>
        <b/>
        <vertAlign val="superscript"/>
        <sz val="11"/>
        <color theme="1"/>
        <rFont val="Symbol"/>
        <family val="1"/>
        <charset val="2"/>
      </rPr>
      <t>-1</t>
    </r>
    <r>
      <rPr>
        <b/>
        <sz val="11"/>
        <color theme="1"/>
        <rFont val="Calibri"/>
        <family val="2"/>
        <scheme val="minor"/>
      </rPr>
      <t>)</t>
    </r>
  </si>
  <si>
    <t>Correlation</t>
  </si>
  <si>
    <t>XT</t>
  </si>
  <si>
    <r>
      <t>Var-covar Matrix (</t>
    </r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  <scheme val="minor"/>
      </rPr>
      <t>)</t>
    </r>
  </si>
  <si>
    <r>
      <t xml:space="preserve">XT </t>
    </r>
    <r>
      <rPr>
        <b/>
        <sz val="10"/>
        <color theme="1"/>
        <rFont val="Symbol"/>
        <family val="1"/>
        <charset val="2"/>
      </rPr>
      <t>S</t>
    </r>
  </si>
  <si>
    <t>Sum</t>
  </si>
  <si>
    <t>5)</t>
  </si>
  <si>
    <t>Market</t>
  </si>
  <si>
    <t>%</t>
  </si>
  <si>
    <t>€</t>
  </si>
  <si>
    <t>b</t>
  </si>
  <si>
    <t>6)</t>
  </si>
  <si>
    <t>7)</t>
  </si>
  <si>
    <t>8)</t>
  </si>
  <si>
    <t>Principal</t>
  </si>
  <si>
    <t>Discount factor</t>
  </si>
  <si>
    <t>Coupons</t>
  </si>
  <si>
    <t>Cash Flows</t>
  </si>
  <si>
    <t>DCF</t>
  </si>
  <si>
    <t>Price</t>
  </si>
  <si>
    <t>Duration</t>
  </si>
  <si>
    <t>Modified Duration</t>
  </si>
  <si>
    <t>EXAM SOLUTIONS</t>
  </si>
  <si>
    <t>B</t>
  </si>
  <si>
    <t>A</t>
  </si>
  <si>
    <t>D</t>
  </si>
  <si>
    <t>C</t>
  </si>
  <si>
    <t>TOTAL PART I</t>
  </si>
  <si>
    <t>TOTAL PART II</t>
  </si>
  <si>
    <t>Time:</t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</si>
  <si>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</si>
  <si>
    <r>
      <t>s</t>
    </r>
    <r>
      <rPr>
        <b/>
        <vertAlign val="subscript"/>
        <sz val="10"/>
        <color rgb="FFFF0000"/>
        <rFont val="Calibri"/>
        <family val="2"/>
      </rPr>
      <t>P</t>
    </r>
  </si>
  <si>
    <r>
      <t>E[R</t>
    </r>
    <r>
      <rPr>
        <b/>
        <vertAlign val="subscript"/>
        <sz val="10"/>
        <color rgb="FFFF0000"/>
        <rFont val="Calibri"/>
        <family val="2"/>
      </rPr>
      <t>P</t>
    </r>
    <r>
      <rPr>
        <b/>
        <sz val="10"/>
        <color rgb="FFFF0000"/>
        <rFont val="Calibri"/>
        <family val="2"/>
      </rPr>
      <t>]</t>
    </r>
  </si>
  <si>
    <t>Beta</t>
  </si>
  <si>
    <t>Siemens</t>
  </si>
  <si>
    <t>Philips</t>
  </si>
  <si>
    <t>Ph,Sms</t>
  </si>
  <si>
    <r>
      <t>Z</t>
    </r>
    <r>
      <rPr>
        <vertAlign val="subscript"/>
        <sz val="11"/>
        <rFont val="Calibri"/>
        <family val="2"/>
        <scheme val="minor"/>
      </rPr>
      <t>S</t>
    </r>
  </si>
  <si>
    <r>
      <t>Z</t>
    </r>
    <r>
      <rPr>
        <vertAlign val="subscript"/>
        <sz val="11"/>
        <rFont val="Calibri"/>
        <family val="2"/>
        <scheme val="minor"/>
      </rPr>
      <t>P</t>
    </r>
  </si>
  <si>
    <t>Portfolio Value (€)</t>
  </si>
  <si>
    <t>L’Oreal</t>
  </si>
  <si>
    <t>Volkswagen</t>
  </si>
  <si>
    <t xml:space="preserve">Principal </t>
  </si>
  <si>
    <t>Fixed Coupon Rate</t>
  </si>
  <si>
    <t>S&amp;P Rating</t>
  </si>
  <si>
    <t>AA-</t>
  </si>
  <si>
    <t>A+</t>
  </si>
  <si>
    <t>Yield to maturity</t>
  </si>
  <si>
    <t>Portfolio</t>
  </si>
  <si>
    <t>Porfolio Duration</t>
  </si>
  <si>
    <t>New Duration</t>
  </si>
  <si>
    <t>New Portfolio Comp.</t>
  </si>
  <si>
    <t>III</t>
  </si>
  <si>
    <t>TOTAL PART III</t>
  </si>
  <si>
    <t>DF</t>
  </si>
  <si>
    <t>BUY STOCK</t>
  </si>
  <si>
    <t>a</t>
  </si>
  <si>
    <t>Xs</t>
  </si>
  <si>
    <t>Xp</t>
  </si>
  <si>
    <t>No. Even with an expected return above 10% the existence of risk (standard deviation of the distribution) will tell us that there is a positive probability of the stock to do not provide a rate of return above 10%</t>
  </si>
  <si>
    <t>Xs &gt;</t>
  </si>
  <si>
    <t>Rp &gt;</t>
  </si>
  <si>
    <t>Xp &lt;</t>
  </si>
  <si>
    <t>Buy Philips</t>
  </si>
  <si>
    <t>Buy Siemens</t>
  </si>
  <si>
    <t>Rf</t>
  </si>
  <si>
    <r>
      <t>E[R</t>
    </r>
    <r>
      <rPr>
        <b/>
        <vertAlign val="subscript"/>
        <sz val="10"/>
        <color theme="1"/>
        <rFont val="Calibri"/>
        <family val="2"/>
      </rPr>
      <t>p</t>
    </r>
    <r>
      <rPr>
        <b/>
        <sz val="10"/>
        <color theme="1"/>
        <rFont val="Calibri"/>
        <family val="2"/>
      </rPr>
      <t>]</t>
    </r>
  </si>
  <si>
    <r>
      <t>E[R</t>
    </r>
    <r>
      <rPr>
        <b/>
        <vertAlign val="subscript"/>
        <sz val="10"/>
        <color theme="1"/>
        <rFont val="Calibri"/>
        <family val="2"/>
      </rPr>
      <t>s</t>
    </r>
    <r>
      <rPr>
        <b/>
        <sz val="10"/>
        <color theme="1"/>
        <rFont val="Calibri"/>
        <family val="2"/>
      </rPr>
      <t>]</t>
    </r>
  </si>
  <si>
    <r>
      <t>P</t>
    </r>
    <r>
      <rPr>
        <vertAlign val="subscript"/>
        <sz val="10"/>
        <color theme="1"/>
        <rFont val="Calibri"/>
        <family val="2"/>
      </rPr>
      <t>Philips</t>
    </r>
  </si>
  <si>
    <r>
      <t>P</t>
    </r>
    <r>
      <rPr>
        <vertAlign val="subscript"/>
        <sz val="10"/>
        <color theme="1"/>
        <rFont val="Calibri"/>
        <family val="2"/>
      </rPr>
      <t>Siemens</t>
    </r>
  </si>
  <si>
    <r>
      <t>E[P</t>
    </r>
    <r>
      <rPr>
        <b/>
        <vertAlign val="subscript"/>
        <sz val="10"/>
        <color rgb="FFFF0000"/>
        <rFont val="Calibri"/>
        <family val="2"/>
      </rPr>
      <t>p</t>
    </r>
    <r>
      <rPr>
        <b/>
        <sz val="10"/>
        <color rgb="FFFF0000"/>
        <rFont val="Calibri"/>
        <family val="2"/>
      </rPr>
      <t>]</t>
    </r>
  </si>
  <si>
    <r>
      <t>E[P</t>
    </r>
    <r>
      <rPr>
        <b/>
        <vertAlign val="subscript"/>
        <sz val="10"/>
        <color rgb="FFFF0000"/>
        <rFont val="Calibri"/>
        <family val="2"/>
      </rPr>
      <t>s</t>
    </r>
    <r>
      <rPr>
        <b/>
        <sz val="10"/>
        <color rgb="FFFF0000"/>
        <rFont val="Calibri"/>
        <family val="2"/>
      </rPr>
      <t>]</t>
    </r>
  </si>
  <si>
    <t>The most sensitive bond is the L'Oreal bond.</t>
  </si>
  <si>
    <t>Price (Volkswagen)</t>
  </si>
  <si>
    <t>YTM</t>
  </si>
  <si>
    <t>Remaining Life (years)</t>
  </si>
  <si>
    <t>c</t>
  </si>
  <si>
    <t>Polinomium</t>
  </si>
  <si>
    <t>Xs*E[Rs]+(1-Xs)*E[Rp]&gt;0,23 &lt;=&gt; Xs &gt; (0,23-E[Rp])/(E[Rs]-E[Rp])</t>
  </si>
  <si>
    <t>Xp*E[Rp]+(1-Xp)*E[Rs]&gt;0,23 &lt;=&gt; Xp &gt; (0,23-E[Rs])/(E[Rp]-E[Rs])</t>
  </si>
  <si>
    <t>You would obtain the same result by solving in order to Xp:</t>
  </si>
  <si>
    <t>MRP (=E[Rm]-Rf)</t>
  </si>
  <si>
    <t>(the solution is obtained using the result with the + before the square root, in order to avoid the YTM to be &lt;0)</t>
  </si>
  <si>
    <t>The yield curve should have a steep and positive slope, according to the expectations theory, as high inflation expectations are usually</t>
  </si>
  <si>
    <t>tackled by monetary policy tightening =&gt; long-term interest rates incorporate the expectation that short-term interest rates will increase.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</si>
</sst>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[$€-2]\ * #,##0.00_);_([$€-2]\ * \(#,##0.00\);_([$€-2]\ * &quot;-&quot;??_);_(@_)"/>
    <numFmt numFmtId="165" formatCode="0.0%"/>
    <numFmt numFmtId="166" formatCode="0.000"/>
    <numFmt numFmtId="167" formatCode="0.000000%"/>
    <numFmt numFmtId="168" formatCode="0.000%"/>
    <numFmt numFmtId="169" formatCode="0.0000"/>
    <numFmt numFmtId="170" formatCode="0.00000"/>
    <numFmt numFmtId="171" formatCode="0.000000"/>
    <numFmt numFmtId="172" formatCode="0.0000000"/>
    <numFmt numFmtId="173" formatCode="[$€-2]\ #,##0.00;[Red]\-[$€-2]\ #,##0.00"/>
    <numFmt numFmtId="174" formatCode="_-[$€-2]\ * #,##0.00_-;\-[$€-2]\ * #,##0.00_-;_-[$€-2]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  <font>
      <vertAlign val="subscript"/>
      <sz val="10"/>
      <color theme="1"/>
      <name val="Calibri"/>
      <family val="2"/>
    </font>
    <font>
      <sz val="10"/>
      <color theme="1"/>
      <name val="Symbol"/>
      <family val="1"/>
      <charset val="2"/>
    </font>
    <font>
      <b/>
      <sz val="10"/>
      <color theme="1"/>
      <name val="Calibri"/>
      <family val="2"/>
    </font>
    <font>
      <sz val="11"/>
      <color theme="1"/>
      <name val="Symbol"/>
      <family val="1"/>
      <charset val="2"/>
    </font>
    <font>
      <b/>
      <sz val="16"/>
      <color rgb="FFFF000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vertAlign val="superscript"/>
      <sz val="11"/>
      <color theme="1"/>
      <name val="Symbol"/>
      <family val="1"/>
      <charset val="2"/>
    </font>
    <font>
      <b/>
      <sz val="10"/>
      <color theme="1"/>
      <name val="Symbol"/>
      <family val="1"/>
      <charset val="2"/>
    </font>
    <font>
      <b/>
      <sz val="10"/>
      <color rgb="FFFF0000"/>
      <name val="Symbol"/>
      <family val="1"/>
      <charset val="2"/>
    </font>
    <font>
      <b/>
      <vertAlign val="subscript"/>
      <sz val="10"/>
      <color rgb="FFFF0000"/>
      <name val="Calibri"/>
      <family val="2"/>
    </font>
    <font>
      <b/>
      <sz val="10"/>
      <color rgb="FFFF0000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b/>
      <vertAlign val="subscript"/>
      <sz val="10"/>
      <color theme="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quotePrefix="1" applyAlignment="1">
      <alignment horizontal="left"/>
    </xf>
    <xf numFmtId="2" fontId="0" fillId="0" borderId="0" xfId="0" applyNumberFormat="1"/>
    <xf numFmtId="166" fontId="0" fillId="0" borderId="0" xfId="0" applyNumberFormat="1"/>
    <xf numFmtId="0" fontId="2" fillId="0" borderId="0" xfId="0" applyFont="1"/>
    <xf numFmtId="2" fontId="3" fillId="0" borderId="0" xfId="0" applyNumberFormat="1" applyFont="1" applyAlignment="1">
      <alignment vertical="center" wrapText="1"/>
    </xf>
    <xf numFmtId="0" fontId="2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2" fillId="0" borderId="0" xfId="0" quotePrefix="1" applyFont="1" applyAlignment="1">
      <alignment horizontal="center"/>
    </xf>
    <xf numFmtId="0" fontId="2" fillId="3" borderId="0" xfId="0" applyFont="1" applyFill="1" applyAlignment="1">
      <alignment horizontal="center"/>
    </xf>
    <xf numFmtId="0" fontId="0" fillId="3" borderId="0" xfId="0" applyFill="1"/>
    <xf numFmtId="0" fontId="6" fillId="0" borderId="1" xfId="0" applyFont="1" applyBorder="1" applyAlignment="1">
      <alignment horizontal="center" vertical="center" wrapText="1"/>
    </xf>
    <xf numFmtId="168" fontId="3" fillId="0" borderId="0" xfId="0" applyNumberFormat="1" applyFont="1" applyAlignment="1">
      <alignment vertical="center" wrapText="1"/>
    </xf>
    <xf numFmtId="0" fontId="3" fillId="0" borderId="0" xfId="0" quotePrefix="1" applyFont="1" applyAlignment="1">
      <alignment horizontal="left" vertical="center" wrapText="1"/>
    </xf>
    <xf numFmtId="0" fontId="14" fillId="0" borderId="0" xfId="0" quotePrefix="1" applyFont="1" applyAlignment="1">
      <alignment horizontal="left" vertical="center" wrapText="1"/>
    </xf>
    <xf numFmtId="165" fontId="16" fillId="0" borderId="0" xfId="1" applyNumberFormat="1" applyFont="1" applyBorder="1" applyAlignment="1">
      <alignment vertical="center" wrapText="1"/>
    </xf>
    <xf numFmtId="167" fontId="16" fillId="0" borderId="0" xfId="0" applyNumberFormat="1" applyFont="1" applyAlignment="1">
      <alignment vertical="center"/>
    </xf>
    <xf numFmtId="0" fontId="14" fillId="2" borderId="0" xfId="0" quotePrefix="1" applyFont="1" applyFill="1" applyAlignment="1">
      <alignment horizontal="left" vertical="center" wrapText="1"/>
    </xf>
    <xf numFmtId="165" fontId="16" fillId="2" borderId="0" xfId="1" applyNumberFormat="1" applyFont="1" applyFill="1" applyBorder="1" applyAlignment="1">
      <alignment vertical="center" wrapText="1"/>
    </xf>
    <xf numFmtId="165" fontId="16" fillId="2" borderId="0" xfId="1" quotePrefix="1" applyNumberFormat="1" applyFont="1" applyFill="1" applyBorder="1" applyAlignment="1">
      <alignment horizontal="left" vertical="center" wrapText="1"/>
    </xf>
    <xf numFmtId="2" fontId="0" fillId="0" borderId="7" xfId="0" applyNumberFormat="1" applyBorder="1"/>
    <xf numFmtId="165" fontId="3" fillId="0" borderId="0" xfId="0" applyNumberFormat="1" applyFont="1" applyAlignment="1">
      <alignment vertical="center" wrapText="1"/>
    </xf>
    <xf numFmtId="0" fontId="8" fillId="0" borderId="0" xfId="0" quotePrefix="1" applyFont="1" applyAlignment="1">
      <alignment horizontal="left"/>
    </xf>
    <xf numFmtId="0" fontId="4" fillId="2" borderId="0" xfId="0" quotePrefix="1" applyFont="1" applyFill="1" applyAlignment="1">
      <alignment horizontal="left"/>
    </xf>
    <xf numFmtId="164" fontId="16" fillId="2" borderId="0" xfId="0" applyNumberFormat="1" applyFont="1" applyFill="1" applyAlignment="1">
      <alignment vertical="center" wrapText="1"/>
    </xf>
    <xf numFmtId="0" fontId="16" fillId="2" borderId="0" xfId="0" quotePrefix="1" applyFont="1" applyFill="1" applyAlignment="1">
      <alignment horizontal="left" vertical="center"/>
    </xf>
    <xf numFmtId="165" fontId="16" fillId="2" borderId="7" xfId="1" applyNumberFormat="1" applyFont="1" applyFill="1" applyBorder="1" applyAlignment="1">
      <alignment vertical="center" wrapText="1"/>
    </xf>
    <xf numFmtId="164" fontId="16" fillId="2" borderId="7" xfId="0" applyNumberFormat="1" applyFont="1" applyFill="1" applyBorder="1" applyAlignment="1">
      <alignment vertical="center" wrapText="1"/>
    </xf>
    <xf numFmtId="165" fontId="16" fillId="2" borderId="0" xfId="0" applyNumberFormat="1" applyFont="1" applyFill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3" fillId="0" borderId="7" xfId="0" quotePrefix="1" applyFont="1" applyBorder="1" applyAlignment="1">
      <alignment horizontal="left" vertical="center" wrapText="1"/>
    </xf>
    <xf numFmtId="165" fontId="3" fillId="0" borderId="0" xfId="1" applyNumberFormat="1" applyFont="1" applyFill="1" applyBorder="1" applyAlignment="1">
      <alignment vertical="center" wrapText="1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4" xfId="0" quotePrefix="1" applyBorder="1" applyAlignment="1">
      <alignment horizontal="center"/>
    </xf>
    <xf numFmtId="0" fontId="3" fillId="0" borderId="5" xfId="0" quotePrefix="1" applyFont="1" applyBorder="1" applyAlignment="1">
      <alignment horizontal="center" vertical="center" wrapText="1"/>
    </xf>
    <xf numFmtId="0" fontId="18" fillId="0" borderId="0" xfId="0" applyFont="1"/>
    <xf numFmtId="0" fontId="18" fillId="3" borderId="0" xfId="0" applyFont="1" applyFill="1"/>
    <xf numFmtId="0" fontId="16" fillId="2" borderId="7" xfId="0" quotePrefix="1" applyFont="1" applyFill="1" applyBorder="1" applyAlignment="1">
      <alignment horizontal="left" vertical="center" wrapText="1"/>
    </xf>
    <xf numFmtId="165" fontId="4" fillId="2" borderId="7" xfId="1" quotePrefix="1" applyNumberFormat="1" applyFont="1" applyFill="1" applyBorder="1" applyAlignme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vertical="center" wrapText="1"/>
    </xf>
    <xf numFmtId="2" fontId="4" fillId="0" borderId="0" xfId="0" applyNumberFormat="1" applyFont="1"/>
    <xf numFmtId="0" fontId="4" fillId="0" borderId="0" xfId="0" quotePrefix="1" applyFont="1" applyAlignment="1">
      <alignment horizontal="center"/>
    </xf>
    <xf numFmtId="2" fontId="4" fillId="2" borderId="0" xfId="0" applyNumberFormat="1" applyFont="1" applyFill="1"/>
    <xf numFmtId="164" fontId="4" fillId="2" borderId="0" xfId="0" applyNumberFormat="1" applyFont="1" applyFill="1"/>
    <xf numFmtId="0" fontId="4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 applyAlignment="1">
      <alignment horizontal="left"/>
    </xf>
    <xf numFmtId="0" fontId="2" fillId="3" borderId="0" xfId="0" quotePrefix="1" applyFont="1" applyFill="1" applyAlignment="1">
      <alignment horizontal="center"/>
    </xf>
    <xf numFmtId="0" fontId="0" fillId="0" borderId="7" xfId="0" applyBorder="1"/>
    <xf numFmtId="165" fontId="3" fillId="0" borderId="7" xfId="1" applyNumberFormat="1" applyFont="1" applyFill="1" applyBorder="1" applyAlignment="1">
      <alignment vertical="center" wrapText="1"/>
    </xf>
    <xf numFmtId="0" fontId="2" fillId="0" borderId="7" xfId="0" quotePrefix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2" fillId="0" borderId="7" xfId="0" quotePrefix="1" applyFont="1" applyBorder="1" applyAlignment="1">
      <alignment horizontal="left"/>
    </xf>
    <xf numFmtId="10" fontId="16" fillId="2" borderId="0" xfId="1" applyNumberFormat="1" applyFont="1" applyFill="1" applyBorder="1" applyAlignment="1">
      <alignment vertical="center" wrapText="1"/>
    </xf>
    <xf numFmtId="0" fontId="3" fillId="0" borderId="2" xfId="0" quotePrefix="1" applyFont="1" applyBorder="1" applyAlignment="1">
      <alignment horizontal="left" vertical="center" wrapText="1"/>
    </xf>
    <xf numFmtId="0" fontId="16" fillId="2" borderId="0" xfId="0" quotePrefix="1" applyFont="1" applyFill="1" applyAlignment="1">
      <alignment horizontal="left" vertical="center" wrapText="1"/>
    </xf>
    <xf numFmtId="165" fontId="4" fillId="2" borderId="0" xfId="1" quotePrefix="1" applyNumberFormat="1" applyFont="1" applyFill="1" applyBorder="1" applyAlignment="1"/>
    <xf numFmtId="169" fontId="3" fillId="0" borderId="0" xfId="0" applyNumberFormat="1" applyFont="1" applyAlignment="1">
      <alignment vertical="center" wrapText="1"/>
    </xf>
    <xf numFmtId="2" fontId="7" fillId="0" borderId="0" xfId="0" applyNumberFormat="1" applyFont="1" applyAlignment="1">
      <alignment vertical="center" wrapText="1"/>
    </xf>
    <xf numFmtId="10" fontId="19" fillId="0" borderId="0" xfId="1" applyNumberFormat="1" applyFont="1"/>
    <xf numFmtId="168" fontId="0" fillId="0" borderId="0" xfId="1" applyNumberFormat="1" applyFont="1"/>
    <xf numFmtId="0" fontId="19" fillId="0" borderId="0" xfId="0" quotePrefix="1" applyFont="1" applyAlignment="1">
      <alignment horizontal="left"/>
    </xf>
    <xf numFmtId="165" fontId="3" fillId="0" borderId="2" xfId="1" applyNumberFormat="1" applyFont="1" applyBorder="1" applyAlignment="1">
      <alignment vertical="center" wrapText="1"/>
    </xf>
    <xf numFmtId="165" fontId="3" fillId="0" borderId="7" xfId="1" applyNumberFormat="1" applyFont="1" applyBorder="1" applyAlignment="1">
      <alignment vertical="center" wrapText="1"/>
    </xf>
    <xf numFmtId="165" fontId="3" fillId="0" borderId="3" xfId="1" applyNumberFormat="1" applyFont="1" applyBorder="1" applyAlignment="1">
      <alignment vertical="center" wrapText="1"/>
    </xf>
    <xf numFmtId="165" fontId="3" fillId="0" borderId="8" xfId="1" applyNumberFormat="1" applyFont="1" applyBorder="1" applyAlignment="1">
      <alignment vertical="center" wrapText="1"/>
    </xf>
    <xf numFmtId="165" fontId="3" fillId="0" borderId="6" xfId="1" applyNumberFormat="1" applyFont="1" applyBorder="1" applyAlignment="1">
      <alignment vertical="center" wrapText="1"/>
    </xf>
    <xf numFmtId="170" fontId="0" fillId="0" borderId="0" xfId="0" applyNumberFormat="1"/>
    <xf numFmtId="172" fontId="3" fillId="0" borderId="0" xfId="0" applyNumberFormat="1" applyFont="1" applyAlignment="1">
      <alignment vertical="center" wrapText="1"/>
    </xf>
    <xf numFmtId="172" fontId="3" fillId="0" borderId="7" xfId="0" applyNumberFormat="1" applyFont="1" applyBorder="1" applyAlignment="1">
      <alignment vertical="center" wrapText="1"/>
    </xf>
    <xf numFmtId="165" fontId="3" fillId="0" borderId="0" xfId="1" applyNumberFormat="1" applyFont="1" applyAlignment="1">
      <alignment vertical="center" wrapText="1"/>
    </xf>
    <xf numFmtId="165" fontId="3" fillId="0" borderId="5" xfId="0" applyNumberFormat="1" applyFont="1" applyBorder="1" applyAlignment="1">
      <alignment vertical="center" wrapText="1"/>
    </xf>
    <xf numFmtId="171" fontId="3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center"/>
    </xf>
    <xf numFmtId="165" fontId="3" fillId="0" borderId="0" xfId="1" applyNumberFormat="1" applyFont="1" applyBorder="1" applyAlignment="1">
      <alignment vertical="center" wrapText="1"/>
    </xf>
    <xf numFmtId="165" fontId="0" fillId="0" borderId="0" xfId="0" applyNumberFormat="1"/>
    <xf numFmtId="165" fontId="18" fillId="0" borderId="0" xfId="1" quotePrefix="1" applyNumberFormat="1" applyFont="1" applyAlignment="1"/>
    <xf numFmtId="0" fontId="3" fillId="0" borderId="7" xfId="0" applyFont="1" applyBorder="1" applyAlignment="1">
      <alignment vertical="center" wrapText="1"/>
    </xf>
    <xf numFmtId="173" fontId="21" fillId="0" borderId="0" xfId="0" applyNumberFormat="1" applyFont="1" applyAlignment="1">
      <alignment horizontal="right" vertical="center" wrapText="1"/>
    </xf>
    <xf numFmtId="9" fontId="21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0" fontId="21" fillId="0" borderId="7" xfId="0" applyFont="1" applyBorder="1" applyAlignment="1">
      <alignment horizontal="center" vertical="center" wrapText="1"/>
    </xf>
    <xf numFmtId="9" fontId="21" fillId="0" borderId="7" xfId="0" applyNumberFormat="1" applyFont="1" applyBorder="1" applyAlignment="1">
      <alignment horizontal="right" vertical="center" wrapText="1"/>
    </xf>
    <xf numFmtId="10" fontId="21" fillId="0" borderId="7" xfId="0" applyNumberFormat="1" applyFont="1" applyBorder="1" applyAlignment="1">
      <alignment horizontal="right" vertical="center" wrapText="1"/>
    </xf>
    <xf numFmtId="0" fontId="22" fillId="0" borderId="7" xfId="0" applyFont="1" applyBorder="1" applyAlignment="1">
      <alignment horizontal="center" vertical="center" wrapText="1"/>
    </xf>
    <xf numFmtId="10" fontId="0" fillId="0" borderId="0" xfId="0" applyNumberFormat="1"/>
    <xf numFmtId="164" fontId="19" fillId="0" borderId="0" xfId="0" applyNumberFormat="1" applyFont="1"/>
    <xf numFmtId="165" fontId="4" fillId="2" borderId="0" xfId="0" applyNumberFormat="1" applyFont="1" applyFill="1"/>
    <xf numFmtId="174" fontId="0" fillId="0" borderId="0" xfId="0" applyNumberFormat="1"/>
    <xf numFmtId="10" fontId="0" fillId="0" borderId="0" xfId="1" applyNumberFormat="1" applyFont="1"/>
    <xf numFmtId="10" fontId="4" fillId="0" borderId="0" xfId="1" applyNumberFormat="1" applyFont="1"/>
    <xf numFmtId="0" fontId="4" fillId="2" borderId="0" xfId="0" applyFont="1" applyFill="1"/>
    <xf numFmtId="9" fontId="0" fillId="0" borderId="0" xfId="0" quotePrefix="1" applyNumberFormat="1" applyAlignment="1">
      <alignment horizontal="center"/>
    </xf>
    <xf numFmtId="0" fontId="23" fillId="2" borderId="0" xfId="0" applyFont="1" applyFill="1"/>
    <xf numFmtId="9" fontId="4" fillId="2" borderId="0" xfId="1" quotePrefix="1" applyFont="1" applyFill="1" applyAlignment="1"/>
    <xf numFmtId="9" fontId="4" fillId="2" borderId="0" xfId="0" quotePrefix="1" applyNumberFormat="1" applyFont="1" applyFill="1"/>
    <xf numFmtId="0" fontId="19" fillId="0" borderId="0" xfId="0" quotePrefix="1" applyFont="1"/>
    <xf numFmtId="2" fontId="19" fillId="0" borderId="0" xfId="0" applyNumberFormat="1" applyFont="1"/>
    <xf numFmtId="165" fontId="19" fillId="0" borderId="0" xfId="1" applyNumberFormat="1" applyFont="1" applyAlignment="1"/>
    <xf numFmtId="0" fontId="7" fillId="0" borderId="0" xfId="0" quotePrefix="1" applyFont="1" applyAlignment="1">
      <alignment vertical="center" wrapText="1"/>
    </xf>
    <xf numFmtId="10" fontId="25" fillId="0" borderId="0" xfId="1" applyNumberFormat="1" applyFont="1" applyAlignment="1"/>
    <xf numFmtId="0" fontId="7" fillId="0" borderId="0" xfId="0" quotePrefix="1" applyFont="1" applyAlignment="1">
      <alignment horizontal="left" vertical="center" wrapText="1"/>
    </xf>
    <xf numFmtId="173" fontId="0" fillId="0" borderId="0" xfId="0" applyNumberFormat="1"/>
    <xf numFmtId="173" fontId="4" fillId="2" borderId="0" xfId="0" applyNumberFormat="1" applyFont="1" applyFill="1"/>
    <xf numFmtId="173" fontId="26" fillId="0" borderId="0" xfId="0" applyNumberFormat="1" applyFont="1" applyAlignment="1">
      <alignment horizontal="right" vertical="center" wrapText="1"/>
    </xf>
    <xf numFmtId="10" fontId="4" fillId="2" borderId="0" xfId="1" applyNumberFormat="1" applyFont="1" applyFill="1"/>
    <xf numFmtId="2" fontId="16" fillId="0" borderId="0" xfId="0" applyNumberFormat="1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21" fillId="4" borderId="0" xfId="0" applyFont="1" applyFill="1" applyAlignment="1">
      <alignment horizontal="center" vertical="center" wrapText="1"/>
    </xf>
    <xf numFmtId="0" fontId="2" fillId="0" borderId="7" xfId="0" quotePrefix="1" applyFont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3" fillId="0" borderId="0" xfId="0" applyFont="1" applyAlignment="1">
      <alignment vertical="center" wrapText="1"/>
    </xf>
    <xf numFmtId="0" fontId="0" fillId="0" borderId="0" xfId="0"/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quotePrefix="1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emf"/><Relationship Id="rId7" Type="http://schemas.openxmlformats.org/officeDocument/2006/relationships/image" Target="../media/image7.png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298450</xdr:colOff>
      <xdr:row>142</xdr:row>
      <xdr:rowOff>38100</xdr:rowOff>
    </xdr:from>
    <xdr:to>
      <xdr:col>8</xdr:col>
      <xdr:colOff>368300</xdr:colOff>
      <xdr:row>147</xdr:row>
      <xdr:rowOff>114300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4883150" y="24625300"/>
              <a:ext cx="2965450" cy="996950"/>
            </a:xfrm>
            <a:prstGeom prst="rect">
              <a:avLst/>
            </a:prstGeom>
            <a:solidFill>
              <a:srgbClr val="FFFF00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𝑫</m:t>
                        </m:r>
                      </m:e>
                      <m:sub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𝑷</m:t>
                        </m:r>
                      </m:sub>
                    </m:sSub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=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𝟑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.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𝟎𝟎</m:t>
                    </m:r>
                  </m:oMath>
                </m:oMathPara>
              </a14:m>
              <a:endParaRPr lang="pt-PT" sz="1100" b="1" i="1">
                <a:solidFill>
                  <a:schemeClr val="dk1"/>
                </a:solidFill>
                <a:effectLst/>
                <a:latin typeface="Cambria Math" panose="02040503050406030204" pitchFamily="18" charset="0"/>
                <a:ea typeface="Cambria Math" panose="02040503050406030204" pitchFamily="18" charset="0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𝑿</m:t>
                        </m:r>
                      </m:e>
                      <m:sub>
                        <m:sSup>
                          <m:sSupPr>
                            <m:ctrlP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𝑳</m:t>
                            </m:r>
                          </m:e>
                          <m:sup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𝑶𝒓</m:t>
                        </m:r>
                      </m:sub>
                    </m:sSub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𝑫</m:t>
                        </m:r>
                      </m:e>
                      <m:sub>
                        <m:sSup>
                          <m:sSupPr>
                            <m:ctrlP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𝑳</m:t>
                            </m:r>
                          </m:e>
                          <m:sup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𝑶𝒓</m:t>
                        </m:r>
                      </m:sub>
                    </m:sSub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d>
                      <m:d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𝑿</m:t>
                            </m:r>
                          </m:e>
                          <m:sub>
                            <m:sSup>
                              <m:sSupPr>
                                <m:ctrlP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𝑳</m:t>
                                </m:r>
                              </m:e>
                              <m:sup>
                                <m: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𝑶𝒓</m:t>
                            </m:r>
                          </m:sub>
                        </m:sSub>
                      </m:e>
                    </m:d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𝑫</m:t>
                        </m:r>
                      </m:e>
                      <m:sub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𝑽𝑾</m:t>
                        </m:r>
                      </m:sub>
                    </m:sSub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=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𝟑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.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𝟎𝟎</m:t>
                    </m:r>
                  </m:oMath>
                </m:oMathPara>
              </a14:m>
              <a:endParaRPr lang="pt-PT" sz="1100" b="1" i="1">
                <a:solidFill>
                  <a:schemeClr val="dk1"/>
                </a:solidFill>
                <a:effectLst/>
                <a:latin typeface="Cambria Math" panose="02040503050406030204" pitchFamily="18" charset="0"/>
                <a:ea typeface="Cambria Math" panose="02040503050406030204" pitchFamily="18" charset="0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𝑿</m:t>
                        </m:r>
                      </m:e>
                      <m:sub>
                        <m:sSup>
                          <m:sSupPr>
                            <m:ctrlP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𝑳</m:t>
                            </m:r>
                          </m:e>
                          <m:sup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𝑶𝒓</m:t>
                        </m:r>
                      </m:sub>
                    </m:sSub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𝟑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.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𝟔𝟑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d>
                      <m:dPr>
                        <m:ctrlP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  <m:r>
                          <a:rPr lang="pt-PT" sz="1100" b="1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𝑿</m:t>
                            </m:r>
                          </m:e>
                          <m:sub>
                            <m:sSup>
                              <m:sSupPr>
                                <m:ctrlP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𝑳</m:t>
                                </m:r>
                              </m:e>
                              <m:sup>
                                <m:r>
                                  <a:rPr lang="pt-PT" sz="1100" b="1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′</m:t>
                                </m:r>
                              </m:sup>
                            </m:sSup>
                            <m:r>
                              <a:rPr lang="pt-PT" sz="1100" b="1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𝑶𝒓</m:t>
                            </m:r>
                          </m:sub>
                        </m:sSub>
                      </m:e>
                    </m:d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𝟏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.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𝟖𝟕</m:t>
                    </m:r>
                    <m:r>
                      <a:rPr lang="pt-PT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𝟑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.</m:t>
                    </m:r>
                    <m:r>
                      <a:rPr lang="en-US" sz="1100" b="1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𝟎𝟎</m:t>
                    </m:r>
                  </m:oMath>
                </m:oMathPara>
              </a14:m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 xmlns:m="http://schemas.openxmlformats.org/officeDocument/2006/math">
                  <m:sSub>
                    <m:sSubPr>
                      <m:ctrlP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𝑿</m:t>
                      </m:r>
                    </m:e>
                    <m:sub>
                      <m:sSup>
                        <m:sSupPr>
                          <m:ctrlPr>
                            <a:rPr lang="pt-PT" sz="1100" b="1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pt-PT" sz="1100" b="1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𝑳</m:t>
                          </m:r>
                        </m:e>
                        <m:sup>
                          <m:r>
                            <a:rPr lang="pt-PT" sz="1100" b="1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′</m:t>
                          </m:r>
                        </m:sup>
                      </m:sSup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𝑶𝒓</m:t>
                      </m:r>
                    </m:sub>
                  </m:sSub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𝟏</m:t>
                      </m:r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.</m:t>
                      </m:r>
                      <m:r>
                        <a:rPr lang="en-US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𝟏</m:t>
                      </m:r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𝟑</m:t>
                      </m:r>
                    </m:num>
                    <m:den>
                      <m:r>
                        <a:rPr lang="en-US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𝟏</m:t>
                      </m:r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.</m:t>
                      </m:r>
                      <m:r>
                        <a:rPr lang="en-US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𝟕𝟔</m:t>
                      </m:r>
                    </m:den>
                  </m:f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𝟎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.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𝟔𝟒𝟐</m:t>
                  </m:r>
                </m:oMath>
              </a14:m>
              <a:r>
                <a:rPr lang="en-US">
                  <a:effectLst/>
                </a:rPr>
                <a:t>  AND  </a:t>
              </a:r>
              <a14:m>
                <m:oMath xmlns:m="http://schemas.openxmlformats.org/officeDocument/2006/math">
                  <m:sSub>
                    <m:sSubPr>
                      <m:ctrlP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𝑿</m:t>
                      </m:r>
                    </m:e>
                    <m:sub>
                      <m:r>
                        <a:rPr lang="pt-PT" sz="1100" b="1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𝑽𝑾</m:t>
                      </m:r>
                    </m:sub>
                  </m:sSub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𝟎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.</m:t>
                  </m:r>
                  <m:r>
                    <a:rPr lang="pt-PT" sz="1100" b="1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𝟑𝟓𝟖</m:t>
                  </m:r>
                </m:oMath>
              </a14:m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4883150" y="24625300"/>
              <a:ext cx="2965450" cy="996950"/>
            </a:xfrm>
            <a:prstGeom prst="rect">
              <a:avLst/>
            </a:prstGeom>
            <a:solidFill>
              <a:srgbClr val="FFFF00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𝑫_𝑷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=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𝟑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𝟎𝟎</a:t>
              </a:r>
              <a:endParaRPr lang="pt-PT" sz="1100" b="1" i="1">
                <a:solidFill>
                  <a:schemeClr val="dk1"/>
                </a:solidFill>
                <a:effectLst/>
                <a:latin typeface="Cambria Math" panose="02040503050406030204" pitchFamily="18" charset="0"/>
                <a:ea typeface="Cambria Math" panose="02040503050406030204" pitchFamily="18" charset="0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𝑿_(𝑳^′ 𝑶𝒓)∗𝑫_(𝑳^′ 𝑶𝒓)+(𝟏−𝑿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𝑳^′ 𝑶𝒓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)∗𝑫_𝑽𝑾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=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𝟑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𝟎𝟎</a:t>
              </a:r>
              <a:endParaRPr lang="pt-PT" sz="1100" b="1" i="1">
                <a:solidFill>
                  <a:schemeClr val="dk1"/>
                </a:solidFill>
                <a:effectLst/>
                <a:latin typeface="Cambria Math" panose="02040503050406030204" pitchFamily="18" charset="0"/>
                <a:ea typeface="Cambria Math" panose="02040503050406030204" pitchFamily="18" charset="0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𝑿_(𝑳^′ 𝑶𝒓)∗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𝟑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𝟔𝟑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+(𝟏−𝑿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𝑳^′ 𝑶𝒓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)∗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𝟏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𝟖𝟕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𝟑.𝟎𝟎</a:t>
              </a:r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𝑿_(𝑳^′ 𝑶𝒓)=(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𝟏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𝟏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𝟑)/(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𝟏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.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𝟕𝟔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)=𝟎.𝟔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𝟒𝟐</a:t>
              </a:r>
              <a:r>
                <a:rPr lang="en-US">
                  <a:effectLst/>
                </a:rPr>
                <a:t>  AND  </a:t>
              </a:r>
              <a:r>
                <a:rPr lang="pt-PT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𝑿_𝑽𝑾=𝟎.𝟑</a:t>
              </a:r>
              <a:r>
                <a:rPr lang="en-US" sz="1100" b="1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𝟓𝟖</a:t>
              </a:r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100"/>
            </a:p>
          </xdr:txBody>
        </xdr:sp>
      </mc:Fallback>
    </mc:AlternateContent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879676</xdr:colOff>
      <xdr:row>26</xdr:row>
      <xdr:rowOff>63021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CA3397-D86F-66A3-C630-B1107E5E4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89350" y="4565650"/>
          <a:ext cx="879676" cy="431321"/>
        </a:xfrm>
        <a:prstGeom prst="rect">
          <a:avLst/>
        </a:prstGeom>
      </xdr:spPr>
    </xdr:pic>
    <xdr:clientData/>
  </xdr:twoCellAnchor>
  <xdr:twoCellAnchor editAs="oneCell">
    <xdr:from>
      <xdr:col>4</xdr:col>
      <xdr:colOff>1</xdr:colOff>
      <xdr:row>30</xdr:row>
      <xdr:rowOff>0</xdr:rowOff>
    </xdr:from>
    <xdr:to>
      <xdr:col>6</xdr:col>
      <xdr:colOff>330201</xdr:colOff>
      <xdr:row>31</xdr:row>
      <xdr:rowOff>161740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46C28E-5558-1440-80B1-23BE6CF28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89351" y="5670550"/>
          <a:ext cx="2070100" cy="352240"/>
        </a:xfrm>
        <a:prstGeom prst="rect">
          <a:avLst/>
        </a:prstGeom>
      </xdr:spPr>
    </xdr:pic>
    <xdr:clientData/>
  </xdr:twoCellAnchor>
  <xdr:twoCellAnchor editAs="oneCell">
    <xdr:from>
      <xdr:col>4</xdr:col>
      <xdr:colOff>57150</xdr:colOff>
      <xdr:row>33</xdr:row>
      <xdr:rowOff>0</xdr:rowOff>
    </xdr:from>
    <xdr:to>
      <xdr:col>5</xdr:col>
      <xdr:colOff>711200</xdr:colOff>
      <xdr:row>34</xdr:row>
      <xdr:rowOff>103847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BD481E-31C6-CDF2-006F-F0F2E301B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46500" y="6229350"/>
          <a:ext cx="1549400" cy="294347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44</xdr:row>
      <xdr:rowOff>1</xdr:rowOff>
    </xdr:from>
    <xdr:to>
      <xdr:col>7</xdr:col>
      <xdr:colOff>57150</xdr:colOff>
      <xdr:row>47</xdr:row>
      <xdr:rowOff>166499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48B27B7-BB45-2F87-4538-D2ED771B9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584700" y="8286751"/>
          <a:ext cx="1828800" cy="769748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754574</xdr:colOff>
      <xdr:row>81</xdr:row>
      <xdr:rowOff>82769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BB43B18-1906-45F6-CFD4-1CEAA4A7E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89350" y="13887450"/>
          <a:ext cx="754574" cy="451069"/>
        </a:xfrm>
        <a:prstGeom prst="rect">
          <a:avLst/>
        </a:prstGeom>
      </xdr:spPr>
    </xdr:pic>
    <xdr:clientData/>
  </xdr:twoCellAnchor>
  <xdr:twoCellAnchor editAs="oneCell">
    <xdr:from>
      <xdr:col>4</xdr:col>
      <xdr:colOff>241300</xdr:colOff>
      <xdr:row>88</xdr:row>
      <xdr:rowOff>0</xdr:rowOff>
    </xdr:from>
    <xdr:to>
      <xdr:col>6</xdr:col>
      <xdr:colOff>121856</xdr:colOff>
      <xdr:row>90</xdr:row>
      <xdr:rowOff>4313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07E8DAE-603C-B339-3153-44D72C0A4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257800" y="15557500"/>
          <a:ext cx="1620456" cy="385313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6</xdr:col>
      <xdr:colOff>101600</xdr:colOff>
      <xdr:row>121</xdr:row>
      <xdr:rowOff>117371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05E0B32-EFC7-3258-06A5-CEB8ACC9A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16500" y="21291550"/>
          <a:ext cx="1841500" cy="485671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130</xdr:row>
      <xdr:rowOff>57150</xdr:rowOff>
    </xdr:from>
    <xdr:to>
      <xdr:col>5</xdr:col>
      <xdr:colOff>254000</xdr:colOff>
      <xdr:row>132</xdr:row>
      <xdr:rowOff>112364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Rectangle 10">
              <a:extLst>
                <a:ext uri="{FF2B5EF4-FFF2-40B4-BE49-F238E27FC236}">
                  <a16:creationId xmlns:a16="http://schemas.microsoft.com/office/drawing/2014/main" id="{C92C9493-B154-47D1-0355-2A7648876869}"/>
                </a:ext>
              </a:extLst>
            </xdr:cNvPr>
            <xdr:cNvSpPr/>
          </xdr:nvSpPr>
          <xdr:spPr>
            <a:xfrm>
              <a:off x="5016500" y="23374350"/>
              <a:ext cx="1149350" cy="42351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PT" sz="1050" i="1" u="none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PT" sz="1050" i="1" u="none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d>
                          <m:dPr>
                            <m:ctrlPr>
                              <a:rPr lang="pt-PT" sz="105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pt-PT" sz="105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1+</m:t>
                            </m:r>
                            <m:r>
                              <a:rPr lang="pt-PT" sz="105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d>
                      </m:den>
                    </m:f>
                    <m:r>
                      <a:rPr lang="pt-PT" sz="1050" i="1" u="none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𝐷</m:t>
                    </m:r>
                    <m:r>
                      <a:rPr lang="pt-PT" sz="1050" b="0" i="1" u="none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pt-PT" sz="1050" b="0" i="1" u="none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𝑀𝐷</m:t>
                    </m:r>
                  </m:oMath>
                </m:oMathPara>
              </a14:m>
              <a:endParaRPr lang="en-GB" sz="1050" u="none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11" name="Rectangle 10">
              <a:extLst>
                <a:ext uri="{FF2B5EF4-FFF2-40B4-BE49-F238E27FC236}">
                  <a16:creationId xmlns:a16="http://schemas.microsoft.com/office/drawing/2014/main" id="{C92C9493-B154-47D1-0355-2A7648876869}"/>
                </a:ext>
              </a:extLst>
            </xdr:cNvPr>
            <xdr:cNvSpPr/>
          </xdr:nvSpPr>
          <xdr:spPr>
            <a:xfrm>
              <a:off x="5016500" y="23374350"/>
              <a:ext cx="1149350" cy="42351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:r>
                <a:rPr lang="pt-PT" sz="1050" i="0" u="none">
                  <a:solidFill>
                    <a:schemeClr val="tx1"/>
                  </a:solidFill>
                  <a:latin typeface="Cambria Math" panose="02040503050406030204" pitchFamily="18" charset="0"/>
                </a:rPr>
                <a:t>1/((1+𝑦) )</a:t>
              </a:r>
              <a:r>
                <a:rPr lang="pt-PT" sz="1050" i="0" u="none">
                  <a:solidFill>
                    <a:schemeClr val="tx1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 𝐷</a:t>
              </a:r>
              <a:r>
                <a:rPr lang="pt-PT" sz="1050" b="0" i="0" u="none">
                  <a:solidFill>
                    <a:schemeClr val="tx1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=𝑀𝐷</a:t>
              </a:r>
              <a:endParaRPr lang="en-GB" sz="1050" u="none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4</xdr:col>
      <xdr:colOff>38100</xdr:colOff>
      <xdr:row>127</xdr:row>
      <xdr:rowOff>133350</xdr:rowOff>
    </xdr:from>
    <xdr:to>
      <xdr:col>6</xdr:col>
      <xdr:colOff>539750</xdr:colOff>
      <xdr:row>130</xdr:row>
      <xdr:rowOff>158750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3">
              <a:extLst>
                <a:ext uri="{FF2B5EF4-FFF2-40B4-BE49-F238E27FC236}">
                  <a16:creationId xmlns:a16="http://schemas.microsoft.com/office/drawing/2014/main" id="{57FDD886-19E2-B508-A828-9613CE906B9A}"/>
                </a:ext>
              </a:extLst>
            </xdr:cNvPr>
            <xdr:cNvSpPr txBox="1"/>
          </xdr:nvSpPr>
          <xdr:spPr>
            <a:xfrm>
              <a:off x="5054600" y="22898100"/>
              <a:ext cx="2241550" cy="577850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pt-PT" sz="1100" i="1" u="none">
                        <a:solidFill>
                          <a:schemeClr val="tx1"/>
                        </a:solidFill>
                        <a:latin typeface="Cambria Math" panose="02040503050406030204" pitchFamily="18" charset="0"/>
                      </a:rPr>
                      <m:t>𝐷</m:t>
                    </m:r>
                    <m:r>
                      <a:rPr lang="pt-PT" sz="1100" i="1" u="none">
                        <a:solidFill>
                          <a:schemeClr val="tx1"/>
                        </a:solidFill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pt-PT" sz="1100" i="1" u="none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f>
                          <m:fPr>
                            <m:ctrlP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𝑇</m:t>
                            </m:r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∙</m:t>
                            </m:r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𝐹𝑉</m:t>
                            </m:r>
                          </m:num>
                          <m:den>
                            <m:sSup>
                              <m:sSupPr>
                                <m:ctrlP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pt-PT" sz="1100" i="1" u="none">
                                        <a:solidFill>
                                          <a:schemeClr val="tx1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pt-PT" sz="1100" i="1" u="none">
                                        <a:solidFill>
                                          <a:schemeClr val="tx1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1+</m:t>
                                    </m:r>
                                    <m:r>
                                      <a:rPr lang="pt-PT" sz="1100" i="1" u="none">
                                        <a:solidFill>
                                          <a:schemeClr val="tx1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d>
                              </m:e>
                              <m:sup>
                                <m: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</a:rPr>
                                  <m:t>𝑇</m:t>
                                </m:r>
                              </m:sup>
                            </m:sSup>
                          </m:den>
                        </m:f>
                        <m:r>
                          <a:rPr lang="pt-PT" sz="1100" i="1" u="none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+</m:t>
                        </m:r>
                        <m:nary>
                          <m:naryPr>
                            <m:chr m:val="∑"/>
                            <m:ctrlP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pt-PT" sz="1100" i="1" u="none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  <m:e>
                            <m:f>
                              <m:fPr>
                                <m:ctrlP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</a:rPr>
                                  <m:t>𝑐</m:t>
                                </m:r>
                                <m: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∙</m:t>
                                </m:r>
                                <m:r>
                                  <a:rPr lang="pt-PT" sz="1100" i="1" u="none">
                                    <a:solidFill>
                                      <a:schemeClr val="tx1"/>
                                    </a:solidFill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</m:num>
                              <m:den>
                                <m:sSup>
                                  <m:sSupPr>
                                    <m:ctrlPr>
                                      <a:rPr lang="pt-PT" sz="1100" i="1" u="none">
                                        <a:solidFill>
                                          <a:schemeClr val="tx1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pt-PT" sz="1100" i="1" u="none">
                                            <a:solidFill>
                                              <a:schemeClr val="tx1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dPr>
                                      <m:e>
                                        <m:r>
                                          <a:rPr lang="pt-PT" sz="1100" i="1" u="none">
                                            <a:solidFill>
                                              <a:schemeClr val="tx1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1+</m:t>
                                        </m:r>
                                        <m:r>
                                          <a:rPr lang="pt-PT" sz="1100" i="1" u="none">
                                            <a:solidFill>
                                              <a:schemeClr val="tx1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d>
                                  </m:e>
                                  <m:sup>
                                    <m:r>
                                      <a:rPr lang="pt-PT" sz="1100" i="1" u="none">
                                        <a:solidFill>
                                          <a:schemeClr val="tx1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𝑛</m:t>
                                    </m:r>
                                  </m:sup>
                                </m:sSup>
                              </m:den>
                            </m:f>
                          </m:e>
                        </m:nary>
                      </m:num>
                      <m:den>
                        <m:r>
                          <a:rPr lang="pt-PT" sz="1100" b="0" i="1" u="none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</a:rPr>
                          <m:t>𝑃</m:t>
                        </m:r>
                      </m:den>
                    </m:f>
                  </m:oMath>
                </m:oMathPara>
              </a14:m>
              <a:endParaRPr lang="en-US" sz="1100" u="none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12" name="TextBox 13">
              <a:extLst>
                <a:ext uri="{FF2B5EF4-FFF2-40B4-BE49-F238E27FC236}">
                  <a16:creationId xmlns:a16="http://schemas.microsoft.com/office/drawing/2014/main" id="{57FDD886-19E2-B508-A828-9613CE906B9A}"/>
                </a:ext>
              </a:extLst>
            </xdr:cNvPr>
            <xdr:cNvSpPr txBox="1"/>
          </xdr:nvSpPr>
          <xdr:spPr>
            <a:xfrm>
              <a:off x="5054600" y="22898100"/>
              <a:ext cx="2241550" cy="577850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:r>
                <a:rPr lang="pt-PT" sz="1100" i="0" u="none">
                  <a:solidFill>
                    <a:schemeClr val="tx1"/>
                  </a:solidFill>
                  <a:latin typeface="Cambria Math" panose="02040503050406030204" pitchFamily="18" charset="0"/>
                </a:rPr>
                <a:t>𝐷=((𝑇</a:t>
              </a:r>
              <a:r>
                <a:rPr lang="pt-PT" sz="1100" i="0" u="none">
                  <a:solidFill>
                    <a:schemeClr val="tx1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∙</a:t>
              </a:r>
              <a:r>
                <a:rPr lang="pt-PT" sz="1100" i="0" u="none">
                  <a:solidFill>
                    <a:schemeClr val="tx1"/>
                  </a:solidFill>
                  <a:latin typeface="Cambria Math" panose="02040503050406030204" pitchFamily="18" charset="0"/>
                </a:rPr>
                <a:t>𝐹𝑉)/(1+𝑦)^𝑇 +∑_(𝑛=1)^𝑇▒(𝑐</a:t>
              </a:r>
              <a:r>
                <a:rPr lang="pt-PT" sz="1100" i="0" u="none">
                  <a:solidFill>
                    <a:schemeClr val="tx1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∙</a:t>
              </a:r>
              <a:r>
                <a:rPr lang="pt-PT" sz="1100" i="0" u="none">
                  <a:solidFill>
                    <a:schemeClr val="tx1"/>
                  </a:solidFill>
                  <a:latin typeface="Cambria Math" panose="02040503050406030204" pitchFamily="18" charset="0"/>
                </a:rPr>
                <a:t>𝑛)/(1+𝑦)^𝑛 )/</a:t>
              </a:r>
              <a:r>
                <a:rPr lang="pt-PT" sz="1100" b="0" i="0" u="none">
                  <a:solidFill>
                    <a:schemeClr val="tx1"/>
                  </a:solidFill>
                  <a:latin typeface="Cambria Math" panose="02040503050406030204" pitchFamily="18" charset="0"/>
                </a:rPr>
                <a:t>𝑃</a:t>
              </a:r>
              <a:endParaRPr lang="en-US" sz="1100" u="none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2</xdr:col>
      <xdr:colOff>0</xdr:colOff>
      <xdr:row>156</xdr:row>
      <xdr:rowOff>0</xdr:rowOff>
    </xdr:from>
    <xdr:to>
      <xdr:col>2</xdr:col>
      <xdr:colOff>2400300</xdr:colOff>
      <xdr:row>156</xdr:row>
      <xdr:rowOff>157351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11">
              <a:extLst>
                <a:ext uri="{FF2B5EF4-FFF2-40B4-BE49-F238E27FC236}">
                  <a16:creationId xmlns:a16="http://schemas.microsoft.com/office/drawing/2014/main" id="{45D38996-1CD5-473C-91F3-6081C7D426D6}"/>
                </a:ext>
              </a:extLst>
            </xdr:cNvPr>
            <xdr:cNvSpPr txBox="1"/>
          </xdr:nvSpPr>
          <xdr:spPr>
            <a:xfrm>
              <a:off x="1219200" y="28105100"/>
              <a:ext cx="2400300" cy="15735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kumimoji="1" lang="pt-PT" sz="1000" b="0" i="1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Py</m:t>
                        </m:r>
                      </m:e>
                      <m:sup>
                        <m: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kumimoji="1" lang="pt-PT" sz="1000" b="1" i="0" u="none" kern="120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d>
                      <m:dPr>
                        <m:ctrlPr>
                          <a:rPr kumimoji="1" lang="pt-PT" sz="1000" b="1" i="1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pt-PT" sz="1000" b="1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𝟐𝐏</m:t>
                        </m:r>
                        <m:r>
                          <a:rPr kumimoji="1" lang="pt-PT" sz="1000" b="1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kumimoji="1" lang="pt-PT" sz="1000" b="1" i="1" u="none" kern="1200">
                                <a:solidFill>
                                  <a:srgbClr val="000099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kumimoji="1" lang="pt-PT" sz="1000" b="0" i="0" u="none" kern="1200">
                                <a:solidFill>
                                  <a:srgbClr val="000099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C</m:t>
                            </m:r>
                          </m:e>
                          <m:sub>
                            <m:r>
                              <a:rPr kumimoji="1" lang="pt-PT" sz="1000" b="0" i="0" u="none" kern="1200">
                                <a:solidFill>
                                  <a:srgbClr val="000099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kumimoji="1" lang="pt-PT" sz="1000" b="1" i="0" u="none" kern="1200">
                        <a:solidFill>
                          <a:srgbClr val="000099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+(</m:t>
                    </m:r>
                    <m:r>
                      <a:rPr kumimoji="1" lang="pt-PT" sz="1000" b="1" i="0" u="none" kern="1200">
                        <a:solidFill>
                          <a:srgbClr val="000099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𝐏</m:t>
                    </m:r>
                    <m:r>
                      <a:rPr kumimoji="1" lang="pt-PT" sz="1000" b="1" i="0" u="none" kern="1200">
                        <a:solidFill>
                          <a:srgbClr val="000099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kumimoji="1" lang="pt-PT" sz="1000" b="1" i="1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</m:t>
                        </m:r>
                      </m:e>
                      <m:sub>
                        <m: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kumimoji="1" lang="pt-PT" sz="1000" b="1" i="1" u="none" kern="120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kumimoji="1" lang="pt-PT" sz="1000" b="1" i="1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</m:t>
                        </m:r>
                      </m:e>
                      <m:sub>
                        <m:r>
                          <a:rPr kumimoji="1" lang="pt-PT" sz="1000" b="0" i="0" u="none" kern="12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kumimoji="1" lang="pt-PT" sz="1000" b="0" i="0" u="none" kern="120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kumimoji="1" lang="pt-PT" sz="1000" b="0" i="0" u="none" kern="120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M</m:t>
                    </m:r>
                    <m:r>
                      <a:rPr kumimoji="1" lang="pt-PT" sz="1000" b="0" i="0" u="none" kern="120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)=0</m:t>
                    </m:r>
                  </m:oMath>
                </m:oMathPara>
              </a14:m>
              <a:endParaRPr lang="pt-PT" sz="1000" u="none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1" name="TextBox 11">
              <a:extLst>
                <a:ext uri="{FF2B5EF4-FFF2-40B4-BE49-F238E27FC236}">
                  <a16:creationId xmlns:a16="http://schemas.microsoft.com/office/drawing/2014/main" id="{45D38996-1CD5-473C-91F3-6081C7D426D6}"/>
                </a:ext>
              </a:extLst>
            </xdr:cNvPr>
            <xdr:cNvSpPr txBox="1"/>
          </xdr:nvSpPr>
          <xdr:spPr>
            <a:xfrm>
              <a:off x="1219200" y="28105100"/>
              <a:ext cx="2400300" cy="15735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ctr" rtl="0" eaLnBrk="0" fontAlgn="base" hangingPunct="0">
                <a:spcBef>
                  <a:spcPct val="0"/>
                </a:spcBef>
                <a:spcAft>
                  <a:spcPct val="0"/>
                </a:spcAft>
                <a:buClr>
                  <a:srgbClr val="FF6600"/>
                </a:buClr>
                <a:buFont typeface="Webdings" pitchFamily="18" charset="2"/>
                <a:buChar char="4"/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umimoji="1" sz="2800" b="1" u="sng" kern="1200">
                  <a:solidFill>
                    <a:srgbClr val="000099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pPr>
                <a:buNone/>
              </a:pP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Py^2</a:t>
              </a:r>
              <a:r>
                <a:rPr kumimoji="1" lang="pt-PT" sz="1000" b="1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+</a:t>
              </a:r>
              <a:r>
                <a:rPr kumimoji="1" lang="pt-PT" sz="1000" b="1" i="0" u="none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(𝟐𝐏−</a:t>
              </a:r>
              <a:r>
                <a:rPr kumimoji="1" lang="pt-PT" sz="1000" b="0" i="0" u="none" kern="1200">
                  <a:solidFill>
                    <a:srgbClr val="000099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C</a:t>
              </a:r>
              <a:r>
                <a:rPr kumimoji="1" lang="pt-PT" sz="1000" b="1" i="0" u="none" kern="1200">
                  <a:solidFill>
                    <a:srgbClr val="000099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_</a:t>
              </a:r>
              <a:r>
                <a:rPr kumimoji="1" lang="pt-PT" sz="1000" b="0" i="0" u="none" kern="1200">
                  <a:solidFill>
                    <a:srgbClr val="000099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1</a:t>
              </a:r>
              <a:r>
                <a:rPr kumimoji="1" lang="pt-PT" sz="1000" b="1" i="0" u="none" kern="1200">
                  <a:solidFill>
                    <a:srgbClr val="000099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)+(𝐏−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C</a:t>
              </a:r>
              <a:r>
                <a:rPr kumimoji="1" lang="pt-PT" sz="1000" b="1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_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1</a:t>
              </a:r>
              <a:r>
                <a:rPr kumimoji="1" lang="pt-PT" sz="1000" b="1" i="0" u="none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C</a:t>
              </a:r>
              <a:r>
                <a:rPr kumimoji="1" lang="pt-PT" sz="1000" b="1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_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2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Times New Roman" pitchFamily="18" charset="0"/>
                  <a:ea typeface="+mn-ea"/>
                  <a:cs typeface="+mn-cs"/>
                </a:rPr>
                <a:t>M</a:t>
              </a:r>
              <a:r>
                <a:rPr kumimoji="1" lang="pt-PT" sz="1000" b="0" i="0" u="none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)=0</a:t>
              </a:r>
              <a:endParaRPr lang="pt-PT" sz="1000" u="none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4</xdr:col>
      <xdr:colOff>31750</xdr:colOff>
      <xdr:row>153</xdr:row>
      <xdr:rowOff>0</xdr:rowOff>
    </xdr:from>
    <xdr:to>
      <xdr:col>6</xdr:col>
      <xdr:colOff>455930</xdr:colOff>
      <xdr:row>158</xdr:row>
      <xdr:rowOff>62230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7C30529-6F13-8B27-B851-9D4B70C42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048250" y="27552650"/>
          <a:ext cx="2164080" cy="982980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44</xdr:row>
      <xdr:rowOff>0</xdr:rowOff>
    </xdr:from>
    <xdr:ext cx="1496692" cy="17780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405E426-3EB4-4C1D-B956-9B3C65D8AA9D}"/>
                </a:ext>
              </a:extLst>
            </xdr:cNvPr>
            <xdr:cNvSpPr txBox="1"/>
          </xdr:nvSpPr>
          <xdr:spPr>
            <a:xfrm>
              <a:off x="8807450" y="8286750"/>
              <a:ext cx="1496692" cy="1778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pt-PT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e>
                        </m:acc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pt-PT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12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405E426-3EB4-4C1D-B956-9B3C65D8AA9D}"/>
                </a:ext>
              </a:extLst>
            </xdr:cNvPr>
            <xdr:cNvSpPr txBox="1"/>
          </xdr:nvSpPr>
          <xdr:spPr>
            <a:xfrm>
              <a:off x="8807450" y="8286750"/>
              <a:ext cx="1496692" cy="1778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𝑅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pt-PT" sz="1100" b="0" i="0">
                  <a:latin typeface="Cambria Math" panose="02040503050406030204" pitchFamily="18" charset="0"/>
                </a:rPr>
                <a:t>1−𝑅_𝐹=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_1^2+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𝑍_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_12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45</xdr:row>
      <xdr:rowOff>0</xdr:rowOff>
    </xdr:from>
    <xdr:ext cx="1496242" cy="1844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2441244-1B69-4BCE-9394-5CC7A225342D}"/>
                </a:ext>
              </a:extLst>
            </xdr:cNvPr>
            <xdr:cNvSpPr txBox="1"/>
          </xdr:nvSpPr>
          <xdr:spPr>
            <a:xfrm>
              <a:off x="8807450" y="8496300"/>
              <a:ext cx="1496242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pt-PT" sz="11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e>
                        </m:acc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pt-PT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12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sSubSup>
                      <m:sSub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2441244-1B69-4BCE-9394-5CC7A225342D}"/>
                </a:ext>
              </a:extLst>
            </xdr:cNvPr>
            <xdr:cNvSpPr txBox="1"/>
          </xdr:nvSpPr>
          <xdr:spPr>
            <a:xfrm>
              <a:off x="8807450" y="8496300"/>
              <a:ext cx="1496242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𝑅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pt-PT" sz="1100" b="0" i="0">
                  <a:latin typeface="Cambria Math" panose="02040503050406030204" pitchFamily="18" charset="0"/>
                </a:rPr>
                <a:t>2−𝑅_𝐹=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𝑍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𝜎_12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𝑍_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𝜎_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46</xdr:row>
      <xdr:rowOff>0</xdr:rowOff>
    </xdr:from>
    <xdr:ext cx="1687834" cy="1844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17D9D298-8456-412A-96EF-C59417F9F4A0}"/>
                </a:ext>
              </a:extLst>
            </xdr:cNvPr>
            <xdr:cNvSpPr txBox="1"/>
          </xdr:nvSpPr>
          <xdr:spPr>
            <a:xfrm>
              <a:off x="8807450" y="8705850"/>
              <a:ext cx="1687834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type m:val="lin"/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̅"/>
                                    <m:ctrlPr>
                                      <a:rPr lang="en-US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sub>
                            </m:sSub>
                          </m:e>
                        </m:d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17D9D298-8456-412A-96EF-C59417F9F4A0}"/>
                </a:ext>
              </a:extLst>
            </xdr:cNvPr>
            <xdr:cNvSpPr txBox="1"/>
          </xdr:nvSpPr>
          <xdr:spPr>
            <a:xfrm>
              <a:off x="8807450" y="8705850"/>
              <a:ext cx="1687834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𝑍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pt-PT" sz="1100" b="0" i="0">
                  <a:latin typeface="Cambria Math" panose="02040503050406030204" pitchFamily="18" charset="0"/>
                </a:rPr>
                <a:t>1=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1−𝑅_𝐹 〖−𝑍〗_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𝜎_12 )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𝜎_1^2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47</xdr:row>
      <xdr:rowOff>0</xdr:rowOff>
    </xdr:from>
    <xdr:ext cx="1687834" cy="1844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E248F05C-AB76-4D69-BFA3-4D167F443D9E}"/>
                </a:ext>
              </a:extLst>
            </xdr:cNvPr>
            <xdr:cNvSpPr txBox="1"/>
          </xdr:nvSpPr>
          <xdr:spPr>
            <a:xfrm>
              <a:off x="8807450" y="8890000"/>
              <a:ext cx="1687834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type m:val="lin"/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̅"/>
                                    <m:ctrlPr>
                                      <a:rPr lang="en-US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sub>
                            </m:sSub>
                          </m:e>
                        </m:d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E248F05C-AB76-4D69-BFA3-4D167F443D9E}"/>
                </a:ext>
              </a:extLst>
            </xdr:cNvPr>
            <xdr:cNvSpPr txBox="1"/>
          </xdr:nvSpPr>
          <xdr:spPr>
            <a:xfrm>
              <a:off x="8807450" y="8890000"/>
              <a:ext cx="1687834" cy="1844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𝑍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pt-PT" sz="1100" b="0" i="0">
                  <a:latin typeface="Cambria Math" panose="02040503050406030204" pitchFamily="18" charset="0"/>
                </a:rPr>
                <a:t>2=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−𝑅_𝐹 〖−𝑍〗_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𝜎_12 )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48</xdr:row>
      <xdr:rowOff>0</xdr:rowOff>
    </xdr:from>
    <xdr:ext cx="2960362" cy="1915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92D9642B-6B07-4BC3-9829-C842CB80ABE2}"/>
                </a:ext>
              </a:extLst>
            </xdr:cNvPr>
            <xdr:cNvSpPr txBox="1"/>
          </xdr:nvSpPr>
          <xdr:spPr>
            <a:xfrm>
              <a:off x="8807450" y="9074150"/>
              <a:ext cx="2960362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type m:val="lin"/>
                        <m:ctrlPr>
                          <a:rPr lang="pt-PT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̅"/>
                                    <m:ctrlPr>
                                      <a:rPr lang="en-US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f>
                              <m:fPr>
                                <m:type m:val="lin"/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d>
                                  <m:dPr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10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acc>
                                          <m:accPr>
                                            <m:chr m:val="̅"/>
                                            <m:ctrlPr>
                                              <a:rPr lang="en-US" sz="110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acc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𝑅</m:t>
                                            </m:r>
                                          </m:e>
                                        </m:acc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sub>
                                    </m:s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𝑅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𝐹</m:t>
                                        </m:r>
                                      </m:sub>
                                    </m:sSub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−</m:t>
                                        </m:r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𝑍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b>
                                    </m:sSub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𝜎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12</m:t>
                                        </m:r>
                                      </m:sub>
                                    </m:sSub>
                                  </m:e>
                                </m:d>
                              </m:num>
                              <m:den>
                                <m:sSubSup>
                                  <m:sSubSupPr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𝜎</m:t>
                                    </m:r>
                                  </m:e>
                                  <m: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sub>
                                  <m:sup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bSup>
                              </m:den>
                            </m:f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sub>
                            </m:sSub>
                          </m:e>
                        </m:d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92D9642B-6B07-4BC3-9829-C842CB80ABE2}"/>
                </a:ext>
              </a:extLst>
            </xdr:cNvPr>
            <xdr:cNvSpPr txBox="1"/>
          </xdr:nvSpPr>
          <xdr:spPr>
            <a:xfrm>
              <a:off x="8807450" y="9074150"/>
              <a:ext cx="2960362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𝑍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pt-PT" sz="1100" b="0" i="0">
                  <a:latin typeface="Cambria Math" panose="02040503050406030204" pitchFamily="18" charset="0"/>
                </a:rPr>
                <a:t>2=[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2−𝑅_𝐹−(𝑅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1−𝑅_𝐹 〖−𝑍〗_2 𝜎_12 )∕𝜎_1^2 ∙𝜎_12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]∕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49</xdr:row>
      <xdr:rowOff>0</xdr:rowOff>
    </xdr:from>
    <xdr:ext cx="3569695" cy="1915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204031F5-68CF-459E-82C2-22EC3CA1A616}"/>
                </a:ext>
              </a:extLst>
            </xdr:cNvPr>
            <xdr:cNvSpPr txBox="1"/>
          </xdr:nvSpPr>
          <xdr:spPr>
            <a:xfrm>
              <a:off x="8807450" y="9258300"/>
              <a:ext cx="3569695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type m:val="lin"/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𝑍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num>
                      <m:den>
                        <m:d>
                          <m:d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Sup>
                              <m:sSubSup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  <m:sup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sSubSup>
                              <m:sSubSup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  <m:sup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</m:e>
                        </m:d>
                      </m:den>
                    </m:f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type m:val="lin"/>
                        <m:ctrlPr>
                          <a:rPr lang="pt-PT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̅"/>
                                    <m:ctrlPr>
                                      <a:rPr lang="en-US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𝑅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sub>
                            </m:s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f>
                              <m:fPr>
                                <m:type m:val="lin"/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d>
                                  <m:dPr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10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acc>
                                          <m:accPr>
                                            <m:chr m:val="̅"/>
                                            <m:ctrlPr>
                                              <a:rPr lang="en-US" sz="110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acc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𝑅</m:t>
                                            </m:r>
                                          </m:e>
                                        </m:acc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sub>
                                    </m:s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𝑅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𝐹</m:t>
                                        </m:r>
                                      </m:sub>
                                    </m:sSub>
                                  </m:e>
                                </m:d>
                              </m:num>
                              <m:den>
                                <m:sSubSup>
                                  <m:sSubSupPr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𝜎</m:t>
                                    </m:r>
                                  </m:e>
                                  <m: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sub>
                                  <m:sup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bSup>
                              </m:den>
                            </m:f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𝜎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sub>
                            </m:sSub>
                          </m:e>
                        </m:d>
                      </m:num>
                      <m:den>
                        <m:sSubSup>
                          <m:sSubSup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𝜎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  <m:sup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204031F5-68CF-459E-82C2-22EC3CA1A616}"/>
                </a:ext>
              </a:extLst>
            </xdr:cNvPr>
            <xdr:cNvSpPr txBox="1"/>
          </xdr:nvSpPr>
          <xdr:spPr>
            <a:xfrm>
              <a:off x="8807450" y="9258300"/>
              <a:ext cx="3569695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𝑍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pt-PT" sz="1100" b="0" i="0">
                  <a:latin typeface="Cambria Math" panose="02040503050406030204" pitchFamily="18" charset="0"/>
                </a:rPr>
                <a:t>2−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〖𝑍_2 𝜎_12^2〗∕(𝜎_1^2∙𝜎_2^2 ) </a:t>
              </a:r>
              <a:r>
                <a:rPr lang="pt-PT" sz="1100" b="0" i="0">
                  <a:latin typeface="Cambria Math" panose="02040503050406030204" pitchFamily="18" charset="0"/>
                </a:rPr>
                <a:t>=[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2−𝑅_𝐹−(𝑅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1−𝑅_𝐹 )∕𝜎_1^2 ∙𝜎_12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]∕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50</xdr:row>
      <xdr:rowOff>0</xdr:rowOff>
    </xdr:from>
    <xdr:ext cx="3819251" cy="1915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85D5EDA1-F9AB-4F09-A3EF-22A4026371BE}"/>
                </a:ext>
              </a:extLst>
            </xdr:cNvPr>
            <xdr:cNvSpPr txBox="1"/>
          </xdr:nvSpPr>
          <xdr:spPr>
            <a:xfrm>
              <a:off x="8807450" y="9442450"/>
              <a:ext cx="3819251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pt-PT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{"/>
                        <m:endChr m:val="}"/>
                        <m:ctrlPr>
                          <a:rPr lang="pt-PT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type m:val="lin"/>
                            <m:ctrlPr>
                              <a:rPr lang="pt-PT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f>
                              <m:fPr>
                                <m:type m:val="lin"/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d>
                                  <m:dPr>
                                    <m:begChr m:val="["/>
                                    <m:endChr m:val="]"/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10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acc>
                                          <m:accPr>
                                            <m:chr m:val="̅"/>
                                            <m:ctrlPr>
                                              <a:rPr lang="en-US" sz="110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acc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𝑅</m:t>
                                            </m:r>
                                          </m:e>
                                        </m:acc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b>
                                    </m:s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𝑅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𝐹</m:t>
                                        </m:r>
                                      </m:sub>
                                    </m:s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f>
                                      <m:fPr>
                                        <m:type m:val="lin"/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d>
                                          <m:dPr>
                                            <m:ctrlP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dPr>
                                          <m:e>
                                            <m:sSub>
                                              <m:sSubPr>
                                                <m:ctrlPr>
                                                  <a:rPr lang="en-US" sz="1100" i="1">
                                                    <a:solidFill>
                                                      <a:schemeClr val="tx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+mn-ea"/>
                                                    <a:cs typeface="+mn-cs"/>
                                                  </a:rPr>
                                                </m:ctrlPr>
                                              </m:sSubPr>
                                              <m:e>
                                                <m:acc>
                                                  <m:accPr>
                                                    <m:chr m:val="̅"/>
                                                    <m:ctrlPr>
                                                      <a:rPr lang="en-US" sz="1100" i="1">
                                                        <a:solidFill>
                                                          <a:schemeClr val="tx1"/>
                                                        </a:solidFill>
                                                        <a:effectLst/>
                                                        <a:latin typeface="Cambria Math" panose="02040503050406030204" pitchFamily="18" charset="0"/>
                                                        <a:ea typeface="+mn-ea"/>
                                                        <a:cs typeface="+mn-cs"/>
                                                      </a:rPr>
                                                    </m:ctrlPr>
                                                  </m:accPr>
                                                  <m:e>
                                                    <m:r>
                                                      <a:rPr lang="pt-PT" sz="1100" b="0" i="1">
                                                        <a:solidFill>
                                                          <a:schemeClr val="tx1"/>
                                                        </a:solidFill>
                                                        <a:effectLst/>
                                                        <a:latin typeface="Cambria Math" panose="02040503050406030204" pitchFamily="18" charset="0"/>
                                                        <a:ea typeface="+mn-ea"/>
                                                        <a:cs typeface="+mn-cs"/>
                                                      </a:rPr>
                                                      <m:t>𝑅</m:t>
                                                    </m:r>
                                                  </m:e>
                                                </m:acc>
                                              </m:e>
                                              <m:sub>
                                                <m:r>
                                                  <a:rPr lang="pt-PT" sz="1100" b="0" i="1">
                                                    <a:solidFill>
                                                      <a:schemeClr val="tx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+mn-ea"/>
                                                    <a:cs typeface="+mn-cs"/>
                                                  </a:rPr>
                                                  <m:t>1</m:t>
                                                </m:r>
                                              </m:sub>
                                            </m:sSub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</m:t>
                                            </m:r>
                                            <m:sSub>
                                              <m:sSubPr>
                                                <m:ctrlPr>
                                                  <a:rPr lang="pt-PT" sz="1100" b="0" i="1">
                                                    <a:solidFill>
                                                      <a:schemeClr val="tx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+mn-ea"/>
                                                    <a:cs typeface="+mn-cs"/>
                                                  </a:rPr>
                                                </m:ctrlPr>
                                              </m:sSubPr>
                                              <m:e>
                                                <m:r>
                                                  <a:rPr lang="pt-PT" sz="1100" b="0" i="1">
                                                    <a:solidFill>
                                                      <a:schemeClr val="tx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+mn-ea"/>
                                                    <a:cs typeface="+mn-cs"/>
                                                  </a:rPr>
                                                  <m:t>𝑅</m:t>
                                                </m:r>
                                              </m:e>
                                              <m:sub>
                                                <m:r>
                                                  <a:rPr lang="pt-PT" sz="1100" b="0" i="1">
                                                    <a:solidFill>
                                                      <a:schemeClr val="tx1"/>
                                                    </a:solidFill>
                                                    <a:effectLst/>
                                                    <a:latin typeface="Cambria Math" panose="02040503050406030204" pitchFamily="18" charset="0"/>
                                                    <a:ea typeface="+mn-ea"/>
                                                    <a:cs typeface="+mn-cs"/>
                                                  </a:rPr>
                                                  <m:t>𝐹</m:t>
                                                </m:r>
                                              </m:sub>
                                            </m:sSub>
                                          </m:e>
                                        </m:d>
                                      </m:num>
                                      <m:den>
                                        <m:sSubSup>
                                          <m:sSubSupPr>
                                            <m:ctrlP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Sup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𝜎</m:t>
                                            </m:r>
                                          </m:e>
                                          <m:sub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sub>
                                          <m:sup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</m:sup>
                                        </m:sSubSup>
                                      </m:den>
                                    </m:f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∙</m:t>
                                    </m:r>
                                    <m:sSub>
                                      <m:sSub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𝜎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12</m:t>
                                        </m:r>
                                      </m:sub>
                                    </m:sSub>
                                  </m:e>
                                </m:d>
                              </m:num>
                              <m:den>
                                <m:sSubSup>
                                  <m:sSubSupPr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𝜎</m:t>
                                    </m:r>
                                  </m:e>
                                  <m:sub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b>
                                  <m:sup>
                                    <m: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bSup>
                              </m:den>
                            </m:f>
                          </m:num>
                          <m:den>
                            <m:d>
                              <m:dPr>
                                <m:ctrlPr>
                                  <a:rPr lang="pt-PT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PT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f>
                                  <m:fPr>
                                    <m:type m:val="lin"/>
                                    <m:ctrlPr>
                                      <a:rPr lang="pt-PT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bSup>
                                      <m:sSubSup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SupPr>
                                      <m:e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𝜎</m:t>
                                        </m:r>
                                      </m:e>
                                      <m:sub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12</m:t>
                                        </m:r>
                                      </m:sub>
                                      <m:sup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p>
                                    </m:sSubSup>
                                  </m:num>
                                  <m:den>
                                    <m:d>
                                      <m:dPr>
                                        <m:ctrlP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sSubSup>
                                          <m:sSubSupPr>
                                            <m:ctrlP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Sup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𝜎</m:t>
                                            </m:r>
                                          </m:e>
                                          <m:sub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sub>
                                          <m:sup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</m:sup>
                                        </m:sSubSup>
                                        <m:r>
                                          <a:rPr lang="pt-PT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∙</m:t>
                                        </m:r>
                                        <m:sSubSup>
                                          <m:sSubSupPr>
                                            <m:ctrlP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SupPr>
                                          <m:e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𝜎</m:t>
                                            </m:r>
                                          </m:e>
                                          <m:sub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</m:sub>
                                          <m:sup>
                                            <m:r>
                                              <a:rPr lang="pt-PT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</m:sup>
                                        </m:sSubSup>
                                      </m:e>
                                    </m:d>
                                  </m:den>
                                </m:f>
                              </m:e>
                            </m:d>
                          </m:den>
                        </m:f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85D5EDA1-F9AB-4F09-A3EF-22A4026371BE}"/>
                </a:ext>
              </a:extLst>
            </xdr:cNvPr>
            <xdr:cNvSpPr txBox="1"/>
          </xdr:nvSpPr>
          <xdr:spPr>
            <a:xfrm>
              <a:off x="8807450" y="9442450"/>
              <a:ext cx="3819251" cy="1915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PT" sz="1100" b="0" i="0">
                  <a:latin typeface="Cambria Math" panose="02040503050406030204" pitchFamily="18" charset="0"/>
                </a:rPr>
                <a:t>𝑍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pt-PT" sz="1100" b="0" i="0">
                  <a:latin typeface="Cambria Math" panose="02040503050406030204" pitchFamily="18" charset="0"/>
                </a:rPr>
                <a:t>2={〖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[𝑅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2−𝑅_𝐹−(𝑅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 ̅_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1−𝑅_𝐹 )∕𝜎_1^2 ∙𝜎_12 ]∕𝜎_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^2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〗∕(</a:t>
              </a:r>
              <a:r>
                <a:rPr lang="pt-PT" sz="1100" b="0" i="0">
                  <a:latin typeface="Cambria Math" panose="02040503050406030204" pitchFamily="18" charset="0"/>
                </a:rPr>
                <a:t>1−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𝜎_12^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𝜎_1^2∙𝜎_2^2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 }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1"/>
  <sheetViews>
    <sheetView tabSelected="1" topLeftCell="C75" zoomScaleNormal="100" workbookViewId="0">
      <selection activeCell="F80" sqref="F80"/>
    </sheetView>
  </sheetViews>
  <sheetFormatPr defaultRowHeight="14.5" x14ac:dyDescent="0.35"/>
  <cols>
    <col min="3" max="3" width="38.453125" bestFit="1" customWidth="1"/>
    <col min="4" max="4" width="15.90625" customWidth="1"/>
    <col min="5" max="5" width="12.81640625" customWidth="1"/>
    <col min="6" max="6" width="12.08984375" customWidth="1"/>
    <col min="7" max="7" width="13.26953125" customWidth="1"/>
    <col min="8" max="8" width="16.08984375" customWidth="1"/>
    <col min="9" max="9" width="10.453125" customWidth="1"/>
    <col min="10" max="10" width="13.1796875" customWidth="1"/>
    <col min="11" max="11" width="11.6328125" customWidth="1"/>
    <col min="12" max="12" width="12.90625" customWidth="1"/>
  </cols>
  <sheetData>
    <row r="1" spans="1:13" ht="21" x14ac:dyDescent="0.5">
      <c r="A1" s="13" t="s">
        <v>39</v>
      </c>
    </row>
    <row r="2" spans="1:13" ht="14.5" customHeight="1" x14ac:dyDescent="0.5">
      <c r="A2" s="13"/>
    </row>
    <row r="3" spans="1:13" ht="14.5" customHeight="1" x14ac:dyDescent="0.35">
      <c r="A3" s="43"/>
      <c r="B3" s="15" t="s">
        <v>8</v>
      </c>
      <c r="C3" s="16"/>
    </row>
    <row r="4" spans="1:13" ht="14.5" customHeight="1" x14ac:dyDescent="0.35">
      <c r="A4" s="85">
        <f>SUM(A5:A11)/100</f>
        <v>0.35</v>
      </c>
      <c r="B4" t="s">
        <v>44</v>
      </c>
    </row>
    <row r="5" spans="1:13" ht="14.5" customHeight="1" x14ac:dyDescent="0.35">
      <c r="A5" s="42">
        <v>5</v>
      </c>
      <c r="B5" s="52" t="s">
        <v>4</v>
      </c>
      <c r="C5" s="52" t="s">
        <v>40</v>
      </c>
      <c r="D5" s="97">
        <v>1000</v>
      </c>
      <c r="E5" s="97">
        <v>951.81</v>
      </c>
      <c r="F5">
        <f>(D5/E5)</f>
        <v>1.0506298525966318</v>
      </c>
      <c r="G5">
        <f>SQRT(F5)</f>
        <v>1.025002367117575</v>
      </c>
      <c r="H5" s="99">
        <f>G5-1</f>
        <v>2.5002367117574975E-2</v>
      </c>
    </row>
    <row r="6" spans="1:13" ht="14.5" customHeight="1" x14ac:dyDescent="0.35">
      <c r="A6" s="42">
        <v>5</v>
      </c>
      <c r="B6" s="53" t="s">
        <v>5</v>
      </c>
      <c r="C6" s="52" t="s">
        <v>41</v>
      </c>
      <c r="D6" s="94">
        <v>4.2200000000000001E-2</v>
      </c>
      <c r="E6" s="94">
        <v>1.2200000000000001E-2</v>
      </c>
      <c r="F6" s="97">
        <v>0.85</v>
      </c>
      <c r="G6" s="97">
        <f>F6/(D6-E6)</f>
        <v>28.333333333333332</v>
      </c>
      <c r="H6" t="s">
        <v>72</v>
      </c>
    </row>
    <row r="7" spans="1:13" ht="14.5" customHeight="1" x14ac:dyDescent="0.35">
      <c r="A7" s="42">
        <v>5</v>
      </c>
      <c r="B7" s="53" t="s">
        <v>6</v>
      </c>
      <c r="C7" s="52" t="s">
        <v>41</v>
      </c>
    </row>
    <row r="8" spans="1:13" ht="14.5" customHeight="1" x14ac:dyDescent="0.35">
      <c r="A8" s="42">
        <v>5</v>
      </c>
      <c r="B8" s="53" t="s">
        <v>7</v>
      </c>
      <c r="C8" s="52" t="s">
        <v>42</v>
      </c>
    </row>
    <row r="9" spans="1:13" ht="14.5" customHeight="1" x14ac:dyDescent="0.35">
      <c r="A9" s="42">
        <v>5</v>
      </c>
      <c r="B9" s="54" t="s">
        <v>23</v>
      </c>
      <c r="C9" s="52" t="s">
        <v>41</v>
      </c>
    </row>
    <row r="10" spans="1:13" ht="14.5" customHeight="1" x14ac:dyDescent="0.35">
      <c r="A10" s="42">
        <v>5</v>
      </c>
      <c r="B10" s="54" t="s">
        <v>28</v>
      </c>
      <c r="C10" s="52" t="s">
        <v>43</v>
      </c>
    </row>
    <row r="11" spans="1:13" ht="14.5" customHeight="1" x14ac:dyDescent="0.35">
      <c r="A11" s="42">
        <v>5</v>
      </c>
      <c r="B11" s="53" t="s">
        <v>29</v>
      </c>
      <c r="C11" s="52" t="s">
        <v>42</v>
      </c>
    </row>
    <row r="12" spans="1:13" ht="14.5" customHeight="1" x14ac:dyDescent="0.5">
      <c r="A12" s="13"/>
    </row>
    <row r="13" spans="1:13" ht="15" customHeight="1" x14ac:dyDescent="0.35">
      <c r="H13" s="6"/>
    </row>
    <row r="14" spans="1:13" x14ac:dyDescent="0.35">
      <c r="A14" s="43"/>
      <c r="B14" s="55" t="s">
        <v>9</v>
      </c>
      <c r="C14" s="16"/>
    </row>
    <row r="15" spans="1:13" ht="15" thickBot="1" x14ac:dyDescent="0.4">
      <c r="A15" s="85">
        <f>SUM(A16:A94)/100</f>
        <v>0.35</v>
      </c>
      <c r="B15" s="7" t="s">
        <v>45</v>
      </c>
      <c r="J15" s="38"/>
    </row>
    <row r="16" spans="1:13" ht="17" thickBot="1" x14ac:dyDescent="0.5">
      <c r="A16" s="42"/>
      <c r="D16" s="2"/>
      <c r="E16" s="2"/>
      <c r="F16" s="3"/>
      <c r="G16" s="122" t="s">
        <v>0</v>
      </c>
      <c r="H16" s="123"/>
      <c r="J16" s="40" t="s">
        <v>47</v>
      </c>
      <c r="L16" s="39" t="s">
        <v>18</v>
      </c>
      <c r="M16" s="39" t="s">
        <v>50</v>
      </c>
    </row>
    <row r="17" spans="1:13" ht="15.5" thickBot="1" x14ac:dyDescent="0.4">
      <c r="A17" s="42"/>
      <c r="D17" s="4"/>
      <c r="E17" s="5" t="s">
        <v>1</v>
      </c>
      <c r="F17" s="17" t="s">
        <v>2</v>
      </c>
      <c r="G17" s="41" t="str">
        <f>D18</f>
        <v>Philips</v>
      </c>
      <c r="H17" s="41" t="str">
        <f>D19</f>
        <v>Siemens</v>
      </c>
      <c r="L17" s="41" t="s">
        <v>53</v>
      </c>
    </row>
    <row r="18" spans="1:13" x14ac:dyDescent="0.35">
      <c r="A18" s="42"/>
      <c r="D18" s="63" t="s">
        <v>52</v>
      </c>
      <c r="E18" s="71">
        <v>0.15</v>
      </c>
      <c r="F18" s="73">
        <v>0.12</v>
      </c>
      <c r="G18" s="6"/>
      <c r="J18" s="37">
        <f>D55</f>
        <v>0.74316290130796658</v>
      </c>
      <c r="L18" s="9">
        <f>G19/(F18*F19)</f>
        <v>0</v>
      </c>
      <c r="M18" s="76">
        <f>D80</f>
        <v>0.69999999999999984</v>
      </c>
    </row>
    <row r="19" spans="1:13" x14ac:dyDescent="0.35">
      <c r="A19" s="42"/>
      <c r="D19" s="36" t="s">
        <v>51</v>
      </c>
      <c r="E19" s="72">
        <v>0.2</v>
      </c>
      <c r="F19" s="74">
        <v>0.25</v>
      </c>
      <c r="G19" s="78">
        <f>0*F18*F19</f>
        <v>0</v>
      </c>
      <c r="H19" s="56"/>
      <c r="J19" s="57">
        <f>1-J18</f>
        <v>0.25683709869203342</v>
      </c>
      <c r="L19" s="56"/>
      <c r="M19" s="76">
        <f>D81</f>
        <v>1.2</v>
      </c>
    </row>
    <row r="20" spans="1:13" x14ac:dyDescent="0.35">
      <c r="A20" s="42"/>
      <c r="D20" s="19" t="s">
        <v>24</v>
      </c>
      <c r="E20" s="79">
        <v>0.16</v>
      </c>
      <c r="F20" s="75">
        <v>0.11</v>
      </c>
      <c r="G20" s="77">
        <f>0.7*F20^2</f>
        <v>8.4699999999999984E-3</v>
      </c>
      <c r="H20" s="77">
        <f>1.2*F20^2</f>
        <v>1.4519999999999998E-2</v>
      </c>
      <c r="J20" s="11"/>
      <c r="L20" s="11"/>
    </row>
    <row r="21" spans="1:13" ht="15" thickBot="1" x14ac:dyDescent="0.4">
      <c r="A21" s="42"/>
      <c r="D21" s="4" t="s">
        <v>3</v>
      </c>
      <c r="E21" s="80">
        <v>0.05</v>
      </c>
      <c r="F21" s="1"/>
      <c r="G21" s="4"/>
      <c r="H21" s="4"/>
      <c r="J21" s="4"/>
      <c r="L21" s="4"/>
    </row>
    <row r="22" spans="1:13" x14ac:dyDescent="0.35">
      <c r="A22" s="42"/>
      <c r="D22" s="6"/>
      <c r="E22" s="6"/>
      <c r="F22" s="6"/>
      <c r="G22" s="6"/>
      <c r="H22" s="6"/>
      <c r="I22" s="6"/>
    </row>
    <row r="23" spans="1:13" x14ac:dyDescent="0.35">
      <c r="A23" s="42"/>
      <c r="D23" s="6"/>
      <c r="E23" s="6"/>
      <c r="F23" s="6"/>
      <c r="G23" s="6"/>
      <c r="H23" s="6"/>
      <c r="I23" s="6"/>
    </row>
    <row r="24" spans="1:13" x14ac:dyDescent="0.35">
      <c r="A24" s="42">
        <v>2.5</v>
      </c>
      <c r="B24" s="10" t="s">
        <v>4</v>
      </c>
      <c r="D24" s="6"/>
      <c r="E24" s="6"/>
      <c r="F24" s="81"/>
      <c r="G24" s="6"/>
      <c r="H24" s="6"/>
      <c r="I24" s="6"/>
    </row>
    <row r="25" spans="1:13" x14ac:dyDescent="0.35">
      <c r="A25" s="42"/>
      <c r="B25" s="10"/>
      <c r="C25" s="100" t="s">
        <v>75</v>
      </c>
      <c r="D25" s="24">
        <f>F19^2/(F18^2+F19^2)</f>
        <v>0.81274382314694416</v>
      </c>
      <c r="E25" s="6"/>
      <c r="F25" s="81"/>
      <c r="G25" s="6"/>
      <c r="H25" s="6"/>
      <c r="I25" s="6"/>
    </row>
    <row r="26" spans="1:13" x14ac:dyDescent="0.35">
      <c r="A26" s="42"/>
      <c r="B26" s="10"/>
      <c r="C26" s="100" t="s">
        <v>74</v>
      </c>
      <c r="D26" s="24">
        <f>1-D25</f>
        <v>0.18725617685305584</v>
      </c>
      <c r="E26" s="6"/>
      <c r="F26" s="81"/>
      <c r="G26" s="6"/>
      <c r="H26" s="6"/>
      <c r="I26" s="6"/>
    </row>
    <row r="27" spans="1:13" x14ac:dyDescent="0.35">
      <c r="A27" s="42"/>
      <c r="B27" s="10"/>
      <c r="D27" s="6"/>
      <c r="E27" s="6"/>
      <c r="F27" s="81"/>
      <c r="G27" s="6"/>
      <c r="H27" s="6"/>
      <c r="I27" s="6"/>
    </row>
    <row r="28" spans="1:13" x14ac:dyDescent="0.35">
      <c r="A28" s="42"/>
      <c r="D28" s="124" t="s">
        <v>19</v>
      </c>
      <c r="E28" s="124"/>
      <c r="F28" s="118" t="s">
        <v>20</v>
      </c>
      <c r="G28" s="118"/>
      <c r="H28" s="125" t="s">
        <v>21</v>
      </c>
      <c r="I28" s="125"/>
    </row>
    <row r="29" spans="1:13" x14ac:dyDescent="0.35">
      <c r="A29" s="42"/>
      <c r="C29" s="10"/>
      <c r="D29" s="11">
        <f>D25</f>
        <v>0.81274382314694416</v>
      </c>
      <c r="E29" s="11">
        <f>D26</f>
        <v>0.18725617685305584</v>
      </c>
      <c r="F29" s="66">
        <f>F18^2</f>
        <v>1.44E-2</v>
      </c>
      <c r="G29" s="6">
        <f>G19</f>
        <v>0</v>
      </c>
      <c r="H29" s="6">
        <f t="array" ref="H29:I29">MMULT(D29:E29,F29:G30)</f>
        <v>1.1703511053315995E-2</v>
      </c>
      <c r="I29" s="6">
        <v>1.170351105331599E-2</v>
      </c>
    </row>
    <row r="30" spans="1:13" x14ac:dyDescent="0.35">
      <c r="A30" s="42"/>
      <c r="D30" s="6"/>
      <c r="E30" s="6"/>
      <c r="F30" s="6">
        <f>G29</f>
        <v>0</v>
      </c>
      <c r="G30" s="6">
        <f>F19^2</f>
        <v>6.25E-2</v>
      </c>
      <c r="H30" s="6"/>
      <c r="I30" s="6"/>
    </row>
    <row r="31" spans="1:13" ht="15" x14ac:dyDescent="0.35">
      <c r="A31" s="42"/>
      <c r="C31" s="23" t="s">
        <v>48</v>
      </c>
      <c r="D31" s="62">
        <f>SQRT(MMULT(H29:I29,D25:D26))</f>
        <v>0.10818276689619283</v>
      </c>
      <c r="E31" s="6"/>
      <c r="F31" s="6"/>
      <c r="G31" s="6"/>
      <c r="H31" s="6"/>
      <c r="I31" s="6"/>
    </row>
    <row r="32" spans="1:13" x14ac:dyDescent="0.35">
      <c r="A32" s="42"/>
      <c r="D32" s="6"/>
      <c r="E32" s="6"/>
      <c r="F32" s="6"/>
      <c r="G32" s="6"/>
      <c r="H32" s="6"/>
      <c r="I32" s="6"/>
    </row>
    <row r="33" spans="1:10" x14ac:dyDescent="0.35">
      <c r="A33" s="42"/>
      <c r="C33" s="20"/>
      <c r="D33" s="21"/>
      <c r="E33" s="22"/>
      <c r="F33" s="6"/>
      <c r="G33" s="6"/>
      <c r="H33" s="6"/>
      <c r="I33" s="6"/>
    </row>
    <row r="34" spans="1:10" ht="15" x14ac:dyDescent="0.35">
      <c r="A34" s="42">
        <v>2.5</v>
      </c>
      <c r="B34" s="10" t="s">
        <v>5</v>
      </c>
      <c r="C34" s="25" t="s">
        <v>49</v>
      </c>
      <c r="D34" s="62">
        <f>SUMPRODUCT(D25:D26,E18:E19)</f>
        <v>0.1593628088426528</v>
      </c>
      <c r="E34" s="22"/>
      <c r="F34" s="6"/>
      <c r="G34" s="6"/>
      <c r="H34" s="6"/>
      <c r="I34" s="6"/>
    </row>
    <row r="35" spans="1:10" x14ac:dyDescent="0.35">
      <c r="A35" s="42"/>
      <c r="C35" s="20"/>
      <c r="D35" s="21"/>
      <c r="E35" s="22"/>
      <c r="F35" s="6"/>
      <c r="G35" s="6"/>
      <c r="H35" s="6"/>
      <c r="I35" s="6"/>
    </row>
    <row r="36" spans="1:10" x14ac:dyDescent="0.35">
      <c r="A36" s="42"/>
      <c r="C36" s="20"/>
      <c r="D36" s="21"/>
      <c r="E36" s="22"/>
      <c r="F36" s="6"/>
      <c r="G36" s="6"/>
      <c r="H36" s="6"/>
      <c r="I36" s="6"/>
    </row>
    <row r="37" spans="1:10" x14ac:dyDescent="0.35">
      <c r="A37" s="42"/>
      <c r="B37" s="10"/>
      <c r="C37" s="20"/>
      <c r="D37" s="21"/>
      <c r="E37" s="22"/>
      <c r="F37" s="6"/>
      <c r="G37" s="6"/>
      <c r="H37" s="6"/>
      <c r="I37" s="6"/>
    </row>
    <row r="38" spans="1:10" x14ac:dyDescent="0.35">
      <c r="A38" s="42">
        <v>10</v>
      </c>
      <c r="B38" s="12" t="s">
        <v>6</v>
      </c>
      <c r="C38" s="20"/>
      <c r="D38" s="21"/>
      <c r="E38" s="22"/>
      <c r="F38" s="6"/>
      <c r="G38" s="6"/>
      <c r="H38" s="6"/>
      <c r="I38" s="6"/>
    </row>
    <row r="39" spans="1:10" x14ac:dyDescent="0.35">
      <c r="A39" s="42"/>
      <c r="B39" s="10"/>
      <c r="C39" s="20"/>
      <c r="D39" s="21"/>
      <c r="E39" s="22"/>
      <c r="F39" s="6"/>
      <c r="G39" s="6"/>
      <c r="H39" s="6"/>
      <c r="I39" s="6"/>
    </row>
    <row r="40" spans="1:10" ht="16.5" x14ac:dyDescent="0.35">
      <c r="A40" s="42"/>
      <c r="C40" s="20"/>
      <c r="D40" s="58" t="s">
        <v>10</v>
      </c>
      <c r="E40" s="22"/>
      <c r="F40" s="118" t="s">
        <v>20</v>
      </c>
      <c r="G40" s="118"/>
      <c r="H40" s="6"/>
      <c r="I40" s="12" t="s">
        <v>17</v>
      </c>
    </row>
    <row r="41" spans="1:10" x14ac:dyDescent="0.35">
      <c r="A41" s="42"/>
      <c r="C41" s="20"/>
      <c r="D41" s="8">
        <f>E18-$E$21</f>
        <v>9.9999999999999992E-2</v>
      </c>
      <c r="E41" s="22"/>
      <c r="F41" s="6">
        <f>F29</f>
        <v>1.44E-2</v>
      </c>
      <c r="G41" s="6">
        <f>G29</f>
        <v>0</v>
      </c>
      <c r="H41" s="6"/>
      <c r="I41" s="6">
        <f t="array" ref="I41:J42">MINVERSE(F41:G42)</f>
        <v>69.444444444444443</v>
      </c>
      <c r="J41">
        <v>0</v>
      </c>
    </row>
    <row r="42" spans="1:10" x14ac:dyDescent="0.35">
      <c r="A42" s="42"/>
      <c r="C42" s="20"/>
      <c r="D42" s="8">
        <f>E19-$E$21</f>
        <v>0.15000000000000002</v>
      </c>
      <c r="E42" s="22"/>
      <c r="F42" s="6">
        <f>F30</f>
        <v>0</v>
      </c>
      <c r="G42" s="6">
        <f>G30</f>
        <v>6.25E-2</v>
      </c>
      <c r="H42" s="6"/>
      <c r="I42" s="6">
        <v>0</v>
      </c>
      <c r="J42">
        <v>16</v>
      </c>
    </row>
    <row r="43" spans="1:10" x14ac:dyDescent="0.35">
      <c r="A43" s="42"/>
      <c r="C43" s="20"/>
      <c r="D43" s="21"/>
      <c r="E43" s="22"/>
      <c r="F43" s="6"/>
      <c r="G43" s="6"/>
      <c r="H43" s="6"/>
      <c r="I43" s="6"/>
    </row>
    <row r="44" spans="1:10" x14ac:dyDescent="0.35">
      <c r="A44" s="42"/>
      <c r="C44" s="20"/>
      <c r="D44" s="14" t="s">
        <v>12</v>
      </c>
      <c r="E44" s="22"/>
      <c r="F44" s="6"/>
      <c r="G44" s="6"/>
      <c r="H44" s="6"/>
      <c r="I44" s="6"/>
    </row>
    <row r="45" spans="1:10" ht="16.5" x14ac:dyDescent="0.35">
      <c r="A45" s="42"/>
      <c r="C45" s="19" t="s">
        <v>55</v>
      </c>
      <c r="D45" s="8">
        <f t="array" ref="D45:D46">MMULT(I41:J42,D41:D42)</f>
        <v>6.9444444444444438</v>
      </c>
      <c r="E45" s="115">
        <f>(D41-E46*F42)/F41</f>
        <v>6.9444444444444438</v>
      </c>
      <c r="F45" s="6"/>
      <c r="G45" s="6"/>
      <c r="H45" s="6"/>
      <c r="I45" s="6"/>
    </row>
    <row r="46" spans="1:10" ht="16.5" x14ac:dyDescent="0.35">
      <c r="A46" s="42"/>
      <c r="C46" s="19" t="s">
        <v>54</v>
      </c>
      <c r="D46" s="26">
        <v>2.4000000000000004</v>
      </c>
      <c r="E46" s="115">
        <f>((D42-D41/F41*F42)/G42)/(1-F42^2/(F41*G42))</f>
        <v>2.4000000000000004</v>
      </c>
      <c r="F46" s="6"/>
      <c r="G46" s="6"/>
      <c r="H46" s="6"/>
      <c r="I46" s="6"/>
    </row>
    <row r="47" spans="1:10" x14ac:dyDescent="0.35">
      <c r="A47" s="42"/>
      <c r="C47" s="10" t="s">
        <v>11</v>
      </c>
      <c r="D47" s="67">
        <f>D45+D46</f>
        <v>9.344444444444445</v>
      </c>
      <c r="E47" s="18"/>
      <c r="F47" s="6"/>
      <c r="G47" s="6"/>
      <c r="H47" s="6"/>
      <c r="I47" s="6"/>
    </row>
    <row r="48" spans="1:10" x14ac:dyDescent="0.35">
      <c r="A48" s="42"/>
      <c r="E48" s="6"/>
      <c r="F48" s="6"/>
      <c r="G48" s="6"/>
      <c r="H48" s="6"/>
      <c r="I48" s="6"/>
    </row>
    <row r="49" spans="1:10" x14ac:dyDescent="0.35">
      <c r="A49" s="42"/>
      <c r="E49" s="6"/>
      <c r="F49" s="6"/>
      <c r="G49" s="6"/>
      <c r="H49" s="6"/>
      <c r="I49" s="6"/>
    </row>
    <row r="50" spans="1:10" x14ac:dyDescent="0.35">
      <c r="A50" s="42"/>
      <c r="E50" s="6"/>
      <c r="F50" s="6"/>
      <c r="G50" s="6"/>
      <c r="H50" s="6"/>
      <c r="I50" s="6"/>
    </row>
    <row r="51" spans="1:10" x14ac:dyDescent="0.35">
      <c r="A51" s="42"/>
      <c r="E51" s="6"/>
      <c r="F51" s="6"/>
      <c r="G51" s="6"/>
      <c r="H51" s="6"/>
      <c r="I51" s="6"/>
    </row>
    <row r="52" spans="1:10" x14ac:dyDescent="0.35">
      <c r="A52" s="42"/>
      <c r="E52" s="6"/>
      <c r="F52" s="6"/>
      <c r="G52" s="6"/>
      <c r="H52" s="6"/>
      <c r="I52" s="6"/>
    </row>
    <row r="53" spans="1:10" x14ac:dyDescent="0.35">
      <c r="A53" s="42"/>
      <c r="E53" s="6"/>
      <c r="F53" s="6"/>
      <c r="G53" s="6"/>
      <c r="H53" s="6"/>
      <c r="I53" s="6"/>
    </row>
    <row r="54" spans="1:10" ht="16.5" x14ac:dyDescent="0.35">
      <c r="A54" s="42"/>
      <c r="D54" s="14" t="s">
        <v>13</v>
      </c>
      <c r="E54" s="6"/>
      <c r="F54" s="118" t="s">
        <v>15</v>
      </c>
      <c r="G54" s="118"/>
      <c r="H54" s="6"/>
      <c r="I54" s="118" t="s">
        <v>16</v>
      </c>
      <c r="J54" s="118"/>
    </row>
    <row r="55" spans="1:10" ht="14.5" customHeight="1" x14ac:dyDescent="0.35">
      <c r="A55" s="42"/>
      <c r="C55" s="64" t="s">
        <v>52</v>
      </c>
      <c r="D55" s="65">
        <f>D45/$D$47</f>
        <v>0.74316290130796658</v>
      </c>
      <c r="E55" s="6"/>
      <c r="F55" s="27">
        <f>D55</f>
        <v>0.74316290130796658</v>
      </c>
      <c r="G55" s="27">
        <f>D56</f>
        <v>0.25683709869203331</v>
      </c>
      <c r="H55" s="6"/>
      <c r="I55" s="6">
        <f t="array" ref="I55:J55">MMULT(F55:G55,F41:G42)</f>
        <v>1.0701545778834719E-2</v>
      </c>
      <c r="J55">
        <v>1.6052318668252082E-2</v>
      </c>
    </row>
    <row r="56" spans="1:10" x14ac:dyDescent="0.35">
      <c r="A56" s="42"/>
      <c r="C56" s="44" t="s">
        <v>51</v>
      </c>
      <c r="D56" s="45">
        <f>D46/$D$47</f>
        <v>0.25683709869203331</v>
      </c>
      <c r="E56" s="6"/>
      <c r="F56" s="6"/>
      <c r="G56" s="6"/>
      <c r="H56" s="6"/>
      <c r="I56" s="6"/>
    </row>
    <row r="57" spans="1:10" x14ac:dyDescent="0.35">
      <c r="A57" s="42"/>
      <c r="C57" s="29" t="s">
        <v>14</v>
      </c>
      <c r="D57" s="24">
        <f>D56+D55</f>
        <v>0.99999999999999989</v>
      </c>
      <c r="E57" s="6"/>
      <c r="F57" s="6"/>
      <c r="G57" s="6"/>
      <c r="H57" s="6"/>
      <c r="I57" s="6"/>
    </row>
    <row r="58" spans="1:10" x14ac:dyDescent="0.35">
      <c r="A58" s="42"/>
      <c r="C58" s="42"/>
      <c r="E58" s="6"/>
      <c r="F58" s="6"/>
      <c r="G58" s="6"/>
      <c r="H58" s="6"/>
      <c r="I58" s="6"/>
    </row>
    <row r="59" spans="1:10" x14ac:dyDescent="0.35">
      <c r="A59" s="42">
        <v>2.5</v>
      </c>
      <c r="B59" s="12" t="s">
        <v>7</v>
      </c>
      <c r="C59" s="42"/>
      <c r="E59" s="6"/>
      <c r="F59" s="6"/>
      <c r="G59" s="6"/>
      <c r="H59" s="6"/>
      <c r="I59" s="6"/>
    </row>
    <row r="60" spans="1:10" x14ac:dyDescent="0.35">
      <c r="A60" s="42"/>
      <c r="B60" s="12"/>
      <c r="C60" t="s">
        <v>56</v>
      </c>
      <c r="D60" s="47">
        <v>500000</v>
      </c>
      <c r="E60" s="6"/>
      <c r="F60" s="6"/>
      <c r="G60" s="6"/>
      <c r="H60" s="6"/>
      <c r="I60" s="6"/>
    </row>
    <row r="61" spans="1:10" x14ac:dyDescent="0.35">
      <c r="A61" s="42"/>
      <c r="B61" s="12"/>
      <c r="D61" s="46" t="s">
        <v>25</v>
      </c>
      <c r="E61" s="35" t="s">
        <v>26</v>
      </c>
      <c r="G61" s="6"/>
      <c r="H61" s="6"/>
      <c r="I61" s="6"/>
    </row>
    <row r="62" spans="1:10" x14ac:dyDescent="0.35">
      <c r="A62" s="42"/>
      <c r="B62" s="12"/>
      <c r="C62" s="64" t="s">
        <v>52</v>
      </c>
      <c r="D62" s="24">
        <f>D55</f>
        <v>0.74316290130796658</v>
      </c>
      <c r="E62" s="30">
        <f>D62*$D$60</f>
        <v>371581.45065398328</v>
      </c>
      <c r="F62" s="31" t="s">
        <v>80</v>
      </c>
      <c r="G62" s="6"/>
      <c r="H62" s="6"/>
      <c r="I62" s="6"/>
    </row>
    <row r="63" spans="1:10" x14ac:dyDescent="0.35">
      <c r="A63" s="42"/>
      <c r="C63" s="44" t="s">
        <v>51</v>
      </c>
      <c r="D63" s="32">
        <f>D56</f>
        <v>0.25683709869203331</v>
      </c>
      <c r="E63" s="33">
        <f>D63*$D$60</f>
        <v>128418.54934601665</v>
      </c>
      <c r="F63" s="31" t="s">
        <v>81</v>
      </c>
      <c r="G63" s="6"/>
      <c r="H63" s="6"/>
      <c r="I63" s="6"/>
    </row>
    <row r="64" spans="1:10" x14ac:dyDescent="0.35">
      <c r="A64" s="42"/>
      <c r="C64" s="29" t="s">
        <v>22</v>
      </c>
      <c r="D64" s="34">
        <f>SUM(D62:D63)</f>
        <v>0.99999999999999989</v>
      </c>
      <c r="E64" s="30">
        <f>SUM(E62:E63)</f>
        <v>499999.99999999994</v>
      </c>
      <c r="G64" s="6"/>
      <c r="H64" s="6"/>
      <c r="I64" s="6"/>
    </row>
    <row r="65" spans="1:12" x14ac:dyDescent="0.35">
      <c r="A65" s="42"/>
      <c r="I65" s="6"/>
    </row>
    <row r="66" spans="1:12" x14ac:dyDescent="0.35">
      <c r="A66" s="42">
        <v>2.5</v>
      </c>
      <c r="B66" s="10" t="s">
        <v>23</v>
      </c>
      <c r="I66" s="6"/>
    </row>
    <row r="67" spans="1:12" x14ac:dyDescent="0.35">
      <c r="C67" s="119" t="s">
        <v>76</v>
      </c>
      <c r="D67" s="119"/>
      <c r="E67" s="119"/>
      <c r="F67" s="119"/>
      <c r="G67" s="119"/>
      <c r="H67" s="119"/>
      <c r="I67" s="6"/>
    </row>
    <row r="68" spans="1:12" ht="14.5" customHeight="1" x14ac:dyDescent="0.35">
      <c r="C68" s="119"/>
      <c r="D68" s="119"/>
      <c r="E68" s="119"/>
      <c r="F68" s="119"/>
      <c r="G68" s="119"/>
      <c r="H68" s="119"/>
      <c r="I68" s="6"/>
    </row>
    <row r="69" spans="1:12" x14ac:dyDescent="0.35">
      <c r="I69" s="6"/>
    </row>
    <row r="70" spans="1:12" x14ac:dyDescent="0.35">
      <c r="D70" s="14"/>
      <c r="E70" s="6"/>
      <c r="F70" s="6"/>
      <c r="G70" s="6"/>
      <c r="H70" s="6"/>
      <c r="I70" s="6"/>
    </row>
    <row r="71" spans="1:12" x14ac:dyDescent="0.35">
      <c r="A71" s="42">
        <v>5</v>
      </c>
      <c r="B71" s="10" t="s">
        <v>28</v>
      </c>
      <c r="E71" s="6"/>
      <c r="F71" s="6"/>
      <c r="G71" s="6"/>
      <c r="H71" s="6"/>
      <c r="I71" s="6"/>
    </row>
    <row r="72" spans="1:12" x14ac:dyDescent="0.35">
      <c r="C72" s="7" t="s">
        <v>78</v>
      </c>
      <c r="D72" s="101">
        <v>0.23</v>
      </c>
      <c r="E72" s="6"/>
      <c r="F72" s="6"/>
      <c r="G72" s="6"/>
      <c r="H72" s="6"/>
      <c r="I72" s="6"/>
    </row>
    <row r="73" spans="1:12" x14ac:dyDescent="0.35">
      <c r="A73" s="42"/>
      <c r="E73" s="6"/>
      <c r="F73" s="6"/>
      <c r="G73" s="6"/>
      <c r="H73" s="6"/>
      <c r="I73" s="6"/>
    </row>
    <row r="74" spans="1:12" x14ac:dyDescent="0.35">
      <c r="A74" s="42"/>
      <c r="C74" s="100" t="s">
        <v>77</v>
      </c>
      <c r="D74" s="103">
        <f>(D72-E18)/(E19-E18)</f>
        <v>1.5999999999999999</v>
      </c>
      <c r="E74" s="6"/>
      <c r="F74" s="120" t="s">
        <v>95</v>
      </c>
      <c r="G74" s="121"/>
      <c r="H74" s="121"/>
      <c r="I74" s="121"/>
      <c r="J74" s="121"/>
      <c r="K74" s="121"/>
      <c r="L74" s="121"/>
    </row>
    <row r="75" spans="1:12" x14ac:dyDescent="0.35">
      <c r="A75" s="42"/>
      <c r="C75" s="102" t="s">
        <v>79</v>
      </c>
      <c r="D75" s="104">
        <f>1-D74</f>
        <v>-0.59999999999999987</v>
      </c>
      <c r="E75" s="6"/>
    </row>
    <row r="76" spans="1:12" x14ac:dyDescent="0.35">
      <c r="A76" s="42"/>
      <c r="C76" s="102"/>
      <c r="D76" s="104"/>
      <c r="E76" s="6"/>
      <c r="F76" t="s">
        <v>97</v>
      </c>
    </row>
    <row r="77" spans="1:12" x14ac:dyDescent="0.35">
      <c r="A77" s="42"/>
      <c r="D77" s="14"/>
      <c r="E77" s="6"/>
      <c r="F77" s="120" t="s">
        <v>96</v>
      </c>
      <c r="G77" s="121"/>
      <c r="H77" s="121"/>
      <c r="I77" s="121"/>
      <c r="J77" s="121"/>
      <c r="K77" s="121"/>
      <c r="L77" s="121"/>
    </row>
    <row r="78" spans="1:12" x14ac:dyDescent="0.35">
      <c r="A78" s="42">
        <v>5</v>
      </c>
      <c r="B78" s="10" t="s">
        <v>29</v>
      </c>
      <c r="C78" s="28"/>
      <c r="E78" s="47"/>
      <c r="F78" s="27">
        <f>(D72-E19)/(E18-E19)</f>
        <v>-0.59999999999999976</v>
      </c>
      <c r="G78" s="6"/>
      <c r="H78" s="6"/>
      <c r="I78" s="6"/>
    </row>
    <row r="79" spans="1:12" x14ac:dyDescent="0.35">
      <c r="A79" s="42"/>
      <c r="C79" s="28"/>
      <c r="D79" s="82" t="s">
        <v>27</v>
      </c>
      <c r="E79" s="47"/>
      <c r="F79" s="6"/>
      <c r="G79" s="6"/>
      <c r="H79" s="6"/>
      <c r="I79" s="6"/>
    </row>
    <row r="80" spans="1:12" x14ac:dyDescent="0.35">
      <c r="A80" s="42"/>
      <c r="C80" s="64" t="s">
        <v>52</v>
      </c>
      <c r="D80" s="50">
        <f>G20/($F$20^2)</f>
        <v>0.69999999999999984</v>
      </c>
      <c r="F80" s="116"/>
      <c r="G80" s="6"/>
      <c r="H80" s="6"/>
      <c r="I80" s="6"/>
    </row>
    <row r="81" spans="1:9" x14ac:dyDescent="0.35">
      <c r="A81" s="42"/>
      <c r="C81" s="64" t="s">
        <v>51</v>
      </c>
      <c r="D81" s="50">
        <f>H20/($F$20^2)</f>
        <v>1.2</v>
      </c>
      <c r="E81" s="47"/>
      <c r="F81" s="6"/>
      <c r="G81" s="6"/>
      <c r="H81" s="6"/>
      <c r="I81" s="6"/>
    </row>
    <row r="82" spans="1:9" x14ac:dyDescent="0.35">
      <c r="A82" s="42"/>
      <c r="C82" s="49"/>
      <c r="D82" s="48"/>
      <c r="E82" s="47"/>
      <c r="F82" s="6"/>
      <c r="G82" s="6"/>
      <c r="H82" s="6"/>
      <c r="I82" s="6"/>
    </row>
    <row r="83" spans="1:9" x14ac:dyDescent="0.35">
      <c r="A83" s="42">
        <v>5</v>
      </c>
      <c r="B83" s="10" t="s">
        <v>30</v>
      </c>
      <c r="C83" s="105"/>
      <c r="D83" s="106"/>
      <c r="E83" s="47"/>
      <c r="F83" s="6"/>
      <c r="G83" s="6"/>
      <c r="H83" s="6"/>
      <c r="I83" s="6"/>
    </row>
    <row r="84" spans="1:9" ht="15" x14ac:dyDescent="0.35">
      <c r="A84" s="42"/>
      <c r="C84" s="19" t="s">
        <v>85</v>
      </c>
      <c r="D84" s="111">
        <v>20</v>
      </c>
      <c r="E84" s="47"/>
      <c r="F84" s="6"/>
      <c r="G84" s="6"/>
      <c r="H84" s="6"/>
      <c r="I84" s="6"/>
    </row>
    <row r="85" spans="1:9" ht="15" x14ac:dyDescent="0.35">
      <c r="A85" s="42"/>
      <c r="C85" s="19" t="s">
        <v>86</v>
      </c>
      <c r="D85" s="111">
        <v>94</v>
      </c>
      <c r="E85" s="47"/>
      <c r="F85" s="6"/>
      <c r="G85" s="6"/>
      <c r="H85" s="6"/>
      <c r="I85" s="6"/>
    </row>
    <row r="86" spans="1:9" x14ac:dyDescent="0.35">
      <c r="A86" s="42"/>
      <c r="C86" s="105" t="s">
        <v>98</v>
      </c>
      <c r="D86" s="107">
        <v>0.1</v>
      </c>
      <c r="E86" s="47"/>
      <c r="F86" s="6"/>
      <c r="G86" s="6"/>
      <c r="H86" s="6"/>
      <c r="I86" s="6"/>
    </row>
    <row r="87" spans="1:9" x14ac:dyDescent="0.35">
      <c r="A87" s="42"/>
      <c r="C87" s="105" t="s">
        <v>82</v>
      </c>
      <c r="D87" s="107">
        <f>5%</f>
        <v>0.05</v>
      </c>
      <c r="E87" s="47"/>
      <c r="F87" s="6"/>
      <c r="G87" s="6"/>
      <c r="H87" s="6"/>
      <c r="I87" s="6"/>
    </row>
    <row r="88" spans="1:9" x14ac:dyDescent="0.35">
      <c r="A88" s="42"/>
      <c r="C88" s="105"/>
      <c r="D88" s="106"/>
      <c r="E88" s="47"/>
      <c r="F88" s="6"/>
      <c r="G88" s="6"/>
      <c r="H88" s="6"/>
      <c r="I88" s="6"/>
    </row>
    <row r="89" spans="1:9" ht="15" x14ac:dyDescent="0.35">
      <c r="A89" s="42"/>
      <c r="C89" s="108" t="s">
        <v>83</v>
      </c>
      <c r="D89" s="109">
        <f>$D$87+D80*$D$86</f>
        <v>0.12</v>
      </c>
      <c r="E89" s="47"/>
      <c r="F89" s="6"/>
      <c r="G89" s="6"/>
      <c r="H89" s="6"/>
      <c r="I89" s="6"/>
    </row>
    <row r="90" spans="1:9" ht="15" x14ac:dyDescent="0.35">
      <c r="A90" s="42"/>
      <c r="C90" s="110" t="s">
        <v>84</v>
      </c>
      <c r="D90" s="109">
        <f>$D$87+D81*$D$86</f>
        <v>0.16999999999999998</v>
      </c>
      <c r="E90" s="47"/>
      <c r="F90" s="6"/>
      <c r="G90" s="6"/>
      <c r="H90" s="6"/>
      <c r="I90" s="6"/>
    </row>
    <row r="91" spans="1:9" x14ac:dyDescent="0.35">
      <c r="A91" s="42"/>
      <c r="C91" s="105"/>
      <c r="D91" s="106"/>
      <c r="E91" s="47"/>
      <c r="F91" s="6"/>
      <c r="G91" s="6"/>
      <c r="H91" s="6"/>
      <c r="I91" s="6"/>
    </row>
    <row r="92" spans="1:9" ht="15" x14ac:dyDescent="0.35">
      <c r="A92" s="42"/>
      <c r="C92" s="64" t="s">
        <v>87</v>
      </c>
      <c r="D92" s="112">
        <f>D84*(1+D89)</f>
        <v>22.400000000000002</v>
      </c>
      <c r="E92" s="47"/>
      <c r="F92" s="6"/>
      <c r="G92" s="6"/>
      <c r="H92" s="6"/>
      <c r="I92" s="6"/>
    </row>
    <row r="93" spans="1:9" ht="15" x14ac:dyDescent="0.35">
      <c r="A93" s="42"/>
      <c r="C93" s="64" t="s">
        <v>88</v>
      </c>
      <c r="D93" s="112">
        <f>D85*(1+D90)</f>
        <v>109.97999999999999</v>
      </c>
      <c r="E93" s="47"/>
      <c r="F93" s="6"/>
      <c r="G93" s="6"/>
      <c r="H93" s="6"/>
      <c r="I93" s="6"/>
    </row>
    <row r="94" spans="1:9" x14ac:dyDescent="0.35">
      <c r="A94" s="42"/>
      <c r="C94" s="105"/>
      <c r="D94" s="106"/>
      <c r="E94" s="47"/>
      <c r="F94" s="6"/>
      <c r="G94" s="6"/>
      <c r="H94" s="6"/>
      <c r="I94" s="6"/>
    </row>
    <row r="95" spans="1:9" x14ac:dyDescent="0.35">
      <c r="A95" s="42"/>
      <c r="C95" s="7"/>
      <c r="D95" s="68"/>
      <c r="E95" s="47"/>
      <c r="F95" s="6"/>
      <c r="G95" s="6"/>
      <c r="H95" s="6"/>
      <c r="I95" s="6"/>
    </row>
    <row r="96" spans="1:9" x14ac:dyDescent="0.35">
      <c r="A96" s="43"/>
      <c r="B96" s="55" t="s">
        <v>69</v>
      </c>
      <c r="C96" s="16"/>
      <c r="D96" s="48"/>
      <c r="E96" s="47"/>
      <c r="F96" s="6"/>
      <c r="G96" s="6"/>
      <c r="H96" s="6"/>
      <c r="I96" s="6"/>
    </row>
    <row r="97" spans="1:11" x14ac:dyDescent="0.35">
      <c r="A97" s="85">
        <f>SUM(A102:A166)/100</f>
        <v>0.35</v>
      </c>
      <c r="B97" s="7" t="s">
        <v>70</v>
      </c>
      <c r="D97" s="48"/>
      <c r="E97" s="47"/>
      <c r="F97" s="6"/>
      <c r="G97" s="6"/>
      <c r="H97" s="6"/>
      <c r="I97" s="6"/>
    </row>
    <row r="98" spans="1:11" x14ac:dyDescent="0.35">
      <c r="A98" s="85"/>
      <c r="B98" s="7"/>
      <c r="D98" s="48"/>
      <c r="E98" s="47"/>
      <c r="F98" s="6"/>
      <c r="G98" s="6"/>
      <c r="H98" s="6"/>
      <c r="I98" s="6"/>
    </row>
    <row r="99" spans="1:11" x14ac:dyDescent="0.35">
      <c r="A99" s="85"/>
      <c r="D99" s="48"/>
      <c r="E99" s="47"/>
      <c r="F99" s="6"/>
      <c r="G99" s="6"/>
      <c r="H99" s="6"/>
      <c r="I99" s="6"/>
    </row>
    <row r="100" spans="1:11" x14ac:dyDescent="0.35">
      <c r="A100" s="85"/>
      <c r="B100" s="7"/>
      <c r="C100" s="86"/>
      <c r="D100" s="90" t="s">
        <v>57</v>
      </c>
      <c r="E100" s="90" t="s">
        <v>58</v>
      </c>
      <c r="F100" s="6"/>
      <c r="G100" s="6"/>
      <c r="H100" s="6"/>
      <c r="I100" s="6"/>
    </row>
    <row r="101" spans="1:11" x14ac:dyDescent="0.35">
      <c r="A101" s="85"/>
      <c r="B101" s="7"/>
      <c r="C101" t="s">
        <v>59</v>
      </c>
      <c r="D101" s="87">
        <v>1000</v>
      </c>
      <c r="E101" s="87">
        <v>1000</v>
      </c>
      <c r="F101" s="6"/>
      <c r="G101" s="6"/>
      <c r="H101" s="6"/>
      <c r="I101" s="6"/>
    </row>
    <row r="102" spans="1:11" x14ac:dyDescent="0.35">
      <c r="A102" s="85"/>
      <c r="B102" s="7"/>
      <c r="C102" t="s">
        <v>60</v>
      </c>
      <c r="D102" s="88">
        <v>0.04</v>
      </c>
      <c r="E102" s="88">
        <v>0.05</v>
      </c>
      <c r="F102" s="6"/>
      <c r="G102" s="6"/>
      <c r="H102" s="6"/>
      <c r="I102" s="6"/>
    </row>
    <row r="103" spans="1:11" x14ac:dyDescent="0.35">
      <c r="A103" s="85"/>
      <c r="B103" s="7"/>
      <c r="C103" s="7" t="s">
        <v>92</v>
      </c>
      <c r="D103" s="89">
        <v>4</v>
      </c>
      <c r="E103" s="89">
        <v>2</v>
      </c>
      <c r="F103" s="6"/>
      <c r="G103" s="6"/>
      <c r="H103" s="6"/>
      <c r="I103" s="6"/>
    </row>
    <row r="104" spans="1:11" x14ac:dyDescent="0.35">
      <c r="A104" s="85"/>
      <c r="B104" s="7"/>
      <c r="C104" t="s">
        <v>61</v>
      </c>
      <c r="D104" s="89" t="s">
        <v>62</v>
      </c>
      <c r="E104" s="89" t="s">
        <v>63</v>
      </c>
      <c r="F104" s="6"/>
      <c r="G104" s="6"/>
      <c r="H104" s="6"/>
      <c r="I104" s="6"/>
    </row>
    <row r="105" spans="1:11" x14ac:dyDescent="0.35">
      <c r="A105" s="85"/>
      <c r="B105" s="7"/>
      <c r="C105" s="56" t="s">
        <v>64</v>
      </c>
      <c r="D105" s="91">
        <v>0.04</v>
      </c>
      <c r="E105" s="92">
        <v>4.4999999999999998E-2</v>
      </c>
      <c r="F105" s="6"/>
      <c r="G105" s="6"/>
      <c r="H105" s="6"/>
      <c r="I105" s="6"/>
    </row>
    <row r="106" spans="1:11" x14ac:dyDescent="0.35">
      <c r="A106" s="85"/>
      <c r="B106" s="7"/>
      <c r="D106" s="48"/>
      <c r="E106" s="47"/>
      <c r="F106" s="6"/>
      <c r="G106" s="6"/>
      <c r="H106" s="6"/>
      <c r="I106" s="6"/>
    </row>
    <row r="107" spans="1:11" x14ac:dyDescent="0.35">
      <c r="A107" s="42"/>
      <c r="D107" s="48"/>
      <c r="E107" s="47"/>
      <c r="F107" s="6"/>
      <c r="G107" s="6"/>
      <c r="H107" s="6"/>
      <c r="I107" s="6"/>
    </row>
    <row r="108" spans="1:11" x14ac:dyDescent="0.35">
      <c r="A108" s="42">
        <v>5</v>
      </c>
      <c r="B108" s="12" t="s">
        <v>4</v>
      </c>
      <c r="C108" s="117" t="s">
        <v>57</v>
      </c>
      <c r="D108" s="117"/>
      <c r="E108" s="117"/>
      <c r="F108" s="117"/>
      <c r="G108" s="6"/>
      <c r="H108" s="117" t="s">
        <v>58</v>
      </c>
      <c r="I108" s="117"/>
      <c r="J108" s="117"/>
      <c r="K108" s="117"/>
    </row>
    <row r="109" spans="1:11" x14ac:dyDescent="0.35">
      <c r="C109" s="61" t="s">
        <v>46</v>
      </c>
      <c r="D109" s="60">
        <v>0</v>
      </c>
      <c r="E109" s="60" t="s">
        <v>71</v>
      </c>
      <c r="F109" s="60">
        <v>1</v>
      </c>
      <c r="G109" s="6"/>
      <c r="H109" s="61" t="s">
        <v>46</v>
      </c>
      <c r="I109" s="59">
        <v>0</v>
      </c>
      <c r="J109" s="60">
        <v>1</v>
      </c>
      <c r="K109" s="60">
        <v>2</v>
      </c>
    </row>
    <row r="110" spans="1:11" x14ac:dyDescent="0.35">
      <c r="A110" s="42"/>
      <c r="B110" s="10"/>
      <c r="C110" s="7" t="s">
        <v>32</v>
      </c>
      <c r="D110" s="6"/>
      <c r="E110" s="6"/>
      <c r="F110" s="6"/>
      <c r="G110" s="6"/>
      <c r="H110" s="7" t="s">
        <v>32</v>
      </c>
      <c r="J110" s="6"/>
      <c r="K110" s="6"/>
    </row>
    <row r="111" spans="1:11" x14ac:dyDescent="0.35">
      <c r="A111" s="42"/>
      <c r="C111" s="7" t="s">
        <v>33</v>
      </c>
      <c r="D111" s="47"/>
      <c r="E111" s="47"/>
      <c r="F111" s="47">
        <f>D102*D101</f>
        <v>40</v>
      </c>
      <c r="G111" s="6"/>
      <c r="H111" s="7" t="s">
        <v>33</v>
      </c>
      <c r="J111" s="47"/>
      <c r="K111" s="47">
        <f>E102*E101</f>
        <v>50</v>
      </c>
    </row>
    <row r="112" spans="1:11" x14ac:dyDescent="0.35">
      <c r="A112" s="42"/>
      <c r="C112" t="s">
        <v>31</v>
      </c>
      <c r="D112" s="47"/>
      <c r="E112" s="47"/>
      <c r="F112" s="47">
        <f>D101</f>
        <v>1000</v>
      </c>
      <c r="G112" s="6"/>
      <c r="H112" t="s">
        <v>31</v>
      </c>
      <c r="J112" s="47"/>
      <c r="K112" s="47">
        <f>E101</f>
        <v>1000</v>
      </c>
    </row>
    <row r="113" spans="1:11" x14ac:dyDescent="0.35">
      <c r="A113" s="42"/>
      <c r="C113" s="7" t="s">
        <v>34</v>
      </c>
      <c r="D113" s="47"/>
      <c r="E113" s="47"/>
      <c r="F113" s="47"/>
      <c r="G113" s="6"/>
      <c r="H113" s="7" t="s">
        <v>34</v>
      </c>
      <c r="J113" s="47">
        <f>SUM(J111:J112)</f>
        <v>0</v>
      </c>
      <c r="K113" s="47"/>
    </row>
    <row r="114" spans="1:11" x14ac:dyDescent="0.35">
      <c r="A114" s="42"/>
      <c r="C114" s="7">
        <v>0</v>
      </c>
      <c r="D114" s="47"/>
      <c r="E114" s="47">
        <f>(1+$D$105)^(-C114)</f>
        <v>1</v>
      </c>
      <c r="F114" s="47">
        <v>0</v>
      </c>
      <c r="G114" s="6"/>
      <c r="H114" s="7">
        <v>0</v>
      </c>
      <c r="J114" s="47">
        <f>(1+$E$105)^(-H114)</f>
        <v>1</v>
      </c>
      <c r="K114" s="47">
        <v>0</v>
      </c>
    </row>
    <row r="115" spans="1:11" x14ac:dyDescent="0.35">
      <c r="A115" s="42"/>
      <c r="C115" s="7">
        <v>1</v>
      </c>
      <c r="D115" s="47"/>
      <c r="E115" s="47">
        <f t="shared" ref="E115:E118" si="0">(1+$D$105)^(-C115)</f>
        <v>0.96153846153846145</v>
      </c>
      <c r="F115" s="47">
        <f>$F$111</f>
        <v>40</v>
      </c>
      <c r="G115" s="6"/>
      <c r="H115" s="7">
        <v>1</v>
      </c>
      <c r="J115" s="47">
        <f t="shared" ref="J115:J118" si="1">(1+$E$105)^(-H115)</f>
        <v>0.95693779904306231</v>
      </c>
      <c r="K115" s="47">
        <f>$K$111</f>
        <v>50</v>
      </c>
    </row>
    <row r="116" spans="1:11" x14ac:dyDescent="0.35">
      <c r="A116" s="42"/>
      <c r="C116" s="7">
        <v>2</v>
      </c>
      <c r="D116" s="47"/>
      <c r="E116" s="47">
        <f t="shared" si="0"/>
        <v>0.92455621301775137</v>
      </c>
      <c r="F116" s="47">
        <f>$F$111</f>
        <v>40</v>
      </c>
      <c r="G116" s="6"/>
      <c r="H116" s="7">
        <v>2</v>
      </c>
      <c r="J116" s="47">
        <f t="shared" si="1"/>
        <v>0.91572995123738021</v>
      </c>
      <c r="K116" s="47">
        <f>$K$111+K112</f>
        <v>1050</v>
      </c>
    </row>
    <row r="117" spans="1:11" x14ac:dyDescent="0.35">
      <c r="A117" s="42"/>
      <c r="C117" s="7">
        <v>3</v>
      </c>
      <c r="D117" s="47"/>
      <c r="E117" s="47">
        <f t="shared" si="0"/>
        <v>0.88899635867091487</v>
      </c>
      <c r="F117" s="47">
        <f>$F$111</f>
        <v>40</v>
      </c>
      <c r="G117" s="6"/>
      <c r="H117" s="7">
        <v>3</v>
      </c>
      <c r="J117" s="47">
        <f t="shared" si="1"/>
        <v>0.87629660405490928</v>
      </c>
      <c r="K117" s="47">
        <v>0</v>
      </c>
    </row>
    <row r="118" spans="1:11" x14ac:dyDescent="0.35">
      <c r="A118" s="42"/>
      <c r="C118" s="7">
        <v>4</v>
      </c>
      <c r="D118" s="47"/>
      <c r="E118" s="47">
        <f t="shared" si="0"/>
        <v>0.85480419102972571</v>
      </c>
      <c r="F118" s="47">
        <f>$F$111+F112</f>
        <v>1040</v>
      </c>
      <c r="G118" s="6"/>
      <c r="H118" s="7">
        <v>4</v>
      </c>
      <c r="J118" s="47">
        <f t="shared" si="1"/>
        <v>0.83856134359321488</v>
      </c>
      <c r="K118" s="47">
        <v>0</v>
      </c>
    </row>
    <row r="119" spans="1:11" x14ac:dyDescent="0.35">
      <c r="A119" s="42"/>
      <c r="C119" s="7" t="s">
        <v>35</v>
      </c>
      <c r="D119" s="47"/>
      <c r="E119" s="47"/>
      <c r="F119" s="47">
        <f>SUMPRODUCT(E114:E118,F114:F118)</f>
        <v>999.99999999999989</v>
      </c>
      <c r="G119" s="6"/>
      <c r="H119" s="7" t="s">
        <v>35</v>
      </c>
      <c r="J119" s="47"/>
      <c r="K119" s="47">
        <f>SUMPRODUCT(J114:J118,K114:K118)</f>
        <v>1009.3633387514024</v>
      </c>
    </row>
    <row r="120" spans="1:11" x14ac:dyDescent="0.35">
      <c r="C120" s="29" t="s">
        <v>36</v>
      </c>
      <c r="D120" s="51">
        <f>F119</f>
        <v>999.99999999999989</v>
      </c>
      <c r="E120" s="47"/>
      <c r="F120" s="6"/>
      <c r="G120" s="6"/>
      <c r="H120" s="29" t="s">
        <v>36</v>
      </c>
      <c r="I120" s="51">
        <f>SUM(J119:K119)</f>
        <v>1009.3633387514024</v>
      </c>
      <c r="J120" s="47"/>
    </row>
    <row r="121" spans="1:11" x14ac:dyDescent="0.35">
      <c r="C121" s="7"/>
      <c r="E121" s="47"/>
      <c r="F121" s="6"/>
      <c r="G121" s="6"/>
      <c r="H121" s="6"/>
      <c r="I121" s="6"/>
    </row>
    <row r="122" spans="1:11" x14ac:dyDescent="0.35">
      <c r="A122" s="42">
        <v>7.5</v>
      </c>
      <c r="B122" s="10" t="s">
        <v>5</v>
      </c>
      <c r="C122" s="7"/>
      <c r="E122" s="47"/>
      <c r="F122" s="6"/>
      <c r="G122" s="6"/>
      <c r="H122" s="6"/>
      <c r="I122" s="6"/>
    </row>
    <row r="123" spans="1:11" x14ac:dyDescent="0.35">
      <c r="C123" s="117" t="s">
        <v>57</v>
      </c>
      <c r="D123" s="117"/>
      <c r="E123" s="117"/>
      <c r="F123" s="117"/>
      <c r="G123" s="6"/>
      <c r="H123" s="117" t="s">
        <v>58</v>
      </c>
      <c r="I123" s="117"/>
      <c r="J123" s="117"/>
      <c r="K123" s="117"/>
    </row>
    <row r="124" spans="1:11" x14ac:dyDescent="0.35">
      <c r="C124" s="7">
        <v>0</v>
      </c>
      <c r="E124" s="47">
        <f>C124*E114*F114</f>
        <v>0</v>
      </c>
      <c r="F124" s="47"/>
      <c r="G124" s="6"/>
      <c r="H124" s="7">
        <f>C124</f>
        <v>0</v>
      </c>
      <c r="J124" s="47">
        <f>H124*J114*K114</f>
        <v>0</v>
      </c>
      <c r="K124" s="47"/>
    </row>
    <row r="125" spans="1:11" x14ac:dyDescent="0.35">
      <c r="C125" s="7">
        <v>1</v>
      </c>
      <c r="E125" s="47">
        <f>C125*E115*F115</f>
        <v>38.46153846153846</v>
      </c>
      <c r="F125" s="47"/>
      <c r="G125" s="6"/>
      <c r="H125" s="7">
        <f t="shared" ref="H125:H128" si="2">C125</f>
        <v>1</v>
      </c>
      <c r="J125" s="47">
        <f>H125*J115*K115</f>
        <v>47.846889952153113</v>
      </c>
      <c r="K125" s="47"/>
    </row>
    <row r="126" spans="1:11" x14ac:dyDescent="0.35">
      <c r="C126" s="7">
        <v>2</v>
      </c>
      <c r="E126" s="47">
        <f t="shared" ref="E126:E128" si="3">C126*E116*F116</f>
        <v>73.964497041420117</v>
      </c>
      <c r="F126" s="47"/>
      <c r="G126" s="6"/>
      <c r="H126" s="7">
        <f t="shared" si="2"/>
        <v>2</v>
      </c>
      <c r="J126" s="47">
        <f t="shared" ref="J126:J128" si="4">H126*J116*K116</f>
        <v>1923.0328975984985</v>
      </c>
      <c r="K126" s="47"/>
    </row>
    <row r="127" spans="1:11" x14ac:dyDescent="0.35">
      <c r="C127" s="7">
        <v>3</v>
      </c>
      <c r="E127" s="47">
        <f t="shared" si="3"/>
        <v>106.67956304050978</v>
      </c>
      <c r="F127" s="47"/>
      <c r="G127" s="6"/>
      <c r="H127" s="7">
        <f t="shared" si="2"/>
        <v>3</v>
      </c>
      <c r="J127" s="47">
        <f t="shared" si="4"/>
        <v>0</v>
      </c>
      <c r="K127" s="47"/>
    </row>
    <row r="128" spans="1:11" x14ac:dyDescent="0.35">
      <c r="C128" s="7">
        <v>4</v>
      </c>
      <c r="E128" s="47">
        <f t="shared" si="3"/>
        <v>3555.9854346836592</v>
      </c>
      <c r="F128" s="47"/>
      <c r="G128" s="6"/>
      <c r="H128" s="7">
        <f t="shared" si="2"/>
        <v>4</v>
      </c>
      <c r="J128" s="47">
        <f t="shared" si="4"/>
        <v>0</v>
      </c>
      <c r="K128" s="47"/>
    </row>
    <row r="129" spans="1:11" x14ac:dyDescent="0.35">
      <c r="A129" s="42"/>
      <c r="C129" s="7" t="s">
        <v>37</v>
      </c>
      <c r="D129" s="8">
        <f>SUM(E124:E128)/D120</f>
        <v>3.7750910332271279</v>
      </c>
      <c r="E129" s="47"/>
      <c r="F129" s="6"/>
      <c r="G129" s="6"/>
      <c r="H129" s="7" t="s">
        <v>37</v>
      </c>
      <c r="I129" s="8">
        <f>SUM(J124:J128)/I120</f>
        <v>1.9525969607620777</v>
      </c>
      <c r="J129" s="47"/>
    </row>
    <row r="130" spans="1:11" x14ac:dyDescent="0.35">
      <c r="A130" s="42"/>
      <c r="C130" s="29" t="s">
        <v>38</v>
      </c>
      <c r="D130" s="50">
        <f>D129/(1+D105)</f>
        <v>3.6298952242568538</v>
      </c>
      <c r="E130" s="47"/>
      <c r="F130" s="6"/>
      <c r="G130" s="6"/>
      <c r="H130" s="29" t="s">
        <v>38</v>
      </c>
      <c r="I130" s="50">
        <f>I129/(1+E105)</f>
        <v>1.8685138380498352</v>
      </c>
      <c r="J130" s="47"/>
    </row>
    <row r="131" spans="1:11" x14ac:dyDescent="0.35">
      <c r="A131" s="42"/>
      <c r="C131" s="7"/>
      <c r="D131" s="69"/>
      <c r="E131" s="47"/>
      <c r="F131" s="6"/>
      <c r="G131" s="6"/>
      <c r="H131" s="7"/>
      <c r="I131" s="69"/>
      <c r="J131" s="47"/>
    </row>
    <row r="132" spans="1:11" x14ac:dyDescent="0.35">
      <c r="A132" s="42"/>
      <c r="C132" s="29" t="s">
        <v>89</v>
      </c>
      <c r="D132" s="95"/>
      <c r="E132" s="47"/>
      <c r="F132" s="6"/>
      <c r="G132" s="6"/>
      <c r="H132" s="70"/>
      <c r="I132" s="95"/>
      <c r="J132" s="47"/>
      <c r="K132" s="6"/>
    </row>
    <row r="133" spans="1:11" x14ac:dyDescent="0.35">
      <c r="A133" s="42"/>
      <c r="C133" s="7"/>
      <c r="E133" s="47"/>
      <c r="F133" s="6"/>
      <c r="G133" s="6"/>
      <c r="H133" s="6"/>
      <c r="I133" s="6"/>
      <c r="J133" s="47"/>
      <c r="K133" s="6"/>
    </row>
    <row r="134" spans="1:11" x14ac:dyDescent="0.35">
      <c r="A134" s="42"/>
      <c r="C134" s="7"/>
      <c r="E134" s="47"/>
      <c r="F134" s="6"/>
      <c r="G134" s="6"/>
      <c r="H134" s="6"/>
      <c r="I134" s="6"/>
      <c r="J134" s="47"/>
      <c r="K134" s="6"/>
    </row>
    <row r="135" spans="1:11" x14ac:dyDescent="0.35">
      <c r="A135" s="42">
        <v>5</v>
      </c>
      <c r="B135" s="10" t="s">
        <v>6</v>
      </c>
      <c r="C135" s="7"/>
      <c r="E135" s="47"/>
      <c r="F135" s="6"/>
      <c r="G135" s="6"/>
      <c r="H135" s="6"/>
      <c r="I135" s="6"/>
      <c r="J135" s="47"/>
      <c r="K135" s="6"/>
    </row>
    <row r="136" spans="1:11" x14ac:dyDescent="0.35">
      <c r="A136" s="42"/>
      <c r="C136" s="7"/>
      <c r="D136" s="90" t="s">
        <v>57</v>
      </c>
      <c r="E136" s="90" t="s">
        <v>58</v>
      </c>
      <c r="F136" s="6"/>
      <c r="G136" s="6"/>
      <c r="H136" s="6"/>
      <c r="I136" s="6"/>
      <c r="J136" s="47"/>
      <c r="K136" s="6"/>
    </row>
    <row r="137" spans="1:11" x14ac:dyDescent="0.35">
      <c r="A137" s="42"/>
      <c r="C137" s="7" t="s">
        <v>65</v>
      </c>
      <c r="D137" s="84">
        <v>0.5</v>
      </c>
      <c r="E137" s="83">
        <f>1-D137</f>
        <v>0.5</v>
      </c>
      <c r="F137" s="6"/>
      <c r="G137" s="6"/>
      <c r="H137" s="6"/>
      <c r="I137" s="6"/>
      <c r="J137" s="47"/>
      <c r="K137" s="6"/>
    </row>
    <row r="138" spans="1:11" x14ac:dyDescent="0.35">
      <c r="A138" s="42"/>
      <c r="C138" s="7"/>
      <c r="E138" s="47"/>
      <c r="F138" s="6"/>
      <c r="G138" s="6"/>
      <c r="H138" s="6"/>
      <c r="I138" s="6"/>
      <c r="J138" s="47"/>
      <c r="K138" s="6"/>
    </row>
    <row r="139" spans="1:11" x14ac:dyDescent="0.35">
      <c r="A139" s="42"/>
      <c r="C139" s="29" t="s">
        <v>66</v>
      </c>
      <c r="D139" s="50">
        <f>D137*D130+E137*I130</f>
        <v>2.7492045311533446</v>
      </c>
      <c r="E139" s="47"/>
      <c r="F139" s="6"/>
      <c r="G139" s="6"/>
      <c r="H139" s="6"/>
      <c r="I139" s="6"/>
      <c r="J139" s="47"/>
      <c r="K139" s="6"/>
    </row>
    <row r="140" spans="1:11" x14ac:dyDescent="0.35">
      <c r="A140" s="42"/>
      <c r="C140" s="7"/>
      <c r="E140" s="47"/>
      <c r="F140" s="6"/>
      <c r="G140" s="6"/>
      <c r="H140" s="6"/>
      <c r="I140" s="6"/>
      <c r="J140" s="47"/>
      <c r="K140" s="6"/>
    </row>
    <row r="141" spans="1:11" x14ac:dyDescent="0.35">
      <c r="A141" s="42"/>
      <c r="C141" s="7"/>
      <c r="E141" s="47"/>
      <c r="F141" s="6"/>
      <c r="G141" s="6"/>
      <c r="H141" s="6"/>
      <c r="I141" s="6"/>
      <c r="J141" s="47"/>
      <c r="K141" s="6"/>
    </row>
    <row r="142" spans="1:11" x14ac:dyDescent="0.35">
      <c r="A142" s="42">
        <v>5</v>
      </c>
      <c r="B142" s="10" t="s">
        <v>7</v>
      </c>
      <c r="C142" s="7"/>
      <c r="E142" s="47"/>
      <c r="F142" s="6"/>
      <c r="G142" s="6"/>
      <c r="H142" s="6"/>
      <c r="I142" s="6"/>
      <c r="J142" s="47"/>
      <c r="K142" s="6"/>
    </row>
    <row r="143" spans="1:11" x14ac:dyDescent="0.35">
      <c r="A143" s="42"/>
      <c r="C143" s="7"/>
      <c r="E143" s="47"/>
      <c r="F143" s="6"/>
      <c r="G143" s="6"/>
      <c r="H143" s="6"/>
      <c r="I143" s="6"/>
      <c r="J143" s="47"/>
      <c r="K143" s="6"/>
    </row>
    <row r="144" spans="1:11" x14ac:dyDescent="0.35">
      <c r="A144" s="42"/>
      <c r="C144" s="7" t="s">
        <v>67</v>
      </c>
      <c r="D144" s="8">
        <v>3</v>
      </c>
      <c r="E144" s="47"/>
      <c r="F144" s="6"/>
      <c r="G144" s="6"/>
      <c r="H144" s="6"/>
      <c r="I144" s="6"/>
      <c r="J144" s="47"/>
      <c r="K144" s="6"/>
    </row>
    <row r="145" spans="1:11" x14ac:dyDescent="0.35">
      <c r="A145" s="42"/>
      <c r="C145" s="7"/>
      <c r="E145" s="47"/>
      <c r="F145" s="6"/>
      <c r="G145" s="6"/>
      <c r="H145" s="6"/>
      <c r="I145" s="6"/>
      <c r="J145" s="47"/>
      <c r="K145" s="6"/>
    </row>
    <row r="146" spans="1:11" x14ac:dyDescent="0.35">
      <c r="A146" s="42"/>
      <c r="C146" s="53"/>
      <c r="D146" s="93" t="s">
        <v>57</v>
      </c>
      <c r="E146" s="93" t="s">
        <v>58</v>
      </c>
      <c r="F146" s="6"/>
      <c r="G146" s="6"/>
      <c r="H146" s="6"/>
      <c r="I146" s="6"/>
      <c r="J146" s="47"/>
      <c r="K146" s="6"/>
    </row>
    <row r="147" spans="1:11" x14ac:dyDescent="0.35">
      <c r="A147" s="42"/>
      <c r="C147" s="29" t="s">
        <v>68</v>
      </c>
      <c r="D147" s="96">
        <f>(I130-D144)/(I130-D130)</f>
        <v>0.64238567002613878</v>
      </c>
      <c r="E147" s="24">
        <f>1-D147</f>
        <v>0.35761432997386122</v>
      </c>
      <c r="F147" s="6"/>
      <c r="G147" s="6"/>
      <c r="H147" s="6"/>
      <c r="I147" s="6"/>
      <c r="J147" s="47"/>
      <c r="K147" s="6"/>
    </row>
    <row r="148" spans="1:11" x14ac:dyDescent="0.35">
      <c r="A148" s="42"/>
      <c r="C148" s="7"/>
      <c r="E148" s="47"/>
      <c r="F148" s="6"/>
      <c r="G148" s="6"/>
      <c r="H148" s="6"/>
      <c r="I148" s="6"/>
      <c r="J148" s="47"/>
      <c r="K148" s="6"/>
    </row>
    <row r="149" spans="1:11" x14ac:dyDescent="0.35">
      <c r="A149" s="42"/>
      <c r="C149" s="7"/>
      <c r="E149" s="47"/>
      <c r="F149" s="6"/>
      <c r="G149" s="6"/>
      <c r="H149" s="6"/>
      <c r="I149" s="6"/>
      <c r="J149" s="47"/>
      <c r="K149" s="6"/>
    </row>
    <row r="150" spans="1:11" x14ac:dyDescent="0.35">
      <c r="A150" s="42">
        <v>7.5</v>
      </c>
      <c r="B150" s="10" t="s">
        <v>23</v>
      </c>
      <c r="D150" s="8"/>
    </row>
    <row r="151" spans="1:11" x14ac:dyDescent="0.35">
      <c r="A151" s="42"/>
      <c r="C151" s="7" t="s">
        <v>90</v>
      </c>
      <c r="D151" s="87">
        <v>1020</v>
      </c>
    </row>
    <row r="152" spans="1:11" x14ac:dyDescent="0.35">
      <c r="A152" s="42"/>
    </row>
    <row r="153" spans="1:11" x14ac:dyDescent="0.35">
      <c r="A153" s="42"/>
      <c r="C153" t="s">
        <v>94</v>
      </c>
    </row>
    <row r="154" spans="1:11" x14ac:dyDescent="0.35">
      <c r="A154" s="42"/>
      <c r="C154" t="s">
        <v>73</v>
      </c>
      <c r="D154" s="111">
        <f>D151</f>
        <v>1020</v>
      </c>
    </row>
    <row r="155" spans="1:11" x14ac:dyDescent="0.35">
      <c r="A155" s="42"/>
      <c r="C155" t="s">
        <v>27</v>
      </c>
      <c r="D155" s="111">
        <f>2*D151-K115</f>
        <v>1990</v>
      </c>
    </row>
    <row r="156" spans="1:11" x14ac:dyDescent="0.35">
      <c r="A156" s="42"/>
      <c r="C156" t="s">
        <v>93</v>
      </c>
      <c r="D156" s="113">
        <f>D151-K115-K116</f>
        <v>-80</v>
      </c>
    </row>
    <row r="157" spans="1:11" x14ac:dyDescent="0.35">
      <c r="A157" s="42"/>
    </row>
    <row r="158" spans="1:11" x14ac:dyDescent="0.35">
      <c r="A158" s="42"/>
      <c r="C158" s="100" t="s">
        <v>91</v>
      </c>
      <c r="D158" s="114">
        <f>(-D155+SQRT(D155^2-4*D154*D156))/(2*D154)</f>
        <v>3.9405116352440032E-2</v>
      </c>
      <c r="E158" s="98"/>
    </row>
    <row r="159" spans="1:11" x14ac:dyDescent="0.35">
      <c r="A159" s="42"/>
      <c r="C159" t="s">
        <v>99</v>
      </c>
    </row>
    <row r="160" spans="1:11" x14ac:dyDescent="0.35">
      <c r="A160" s="42"/>
    </row>
    <row r="161" spans="1:3" x14ac:dyDescent="0.35">
      <c r="A161" s="42">
        <v>5</v>
      </c>
      <c r="B161" s="10" t="s">
        <v>28</v>
      </c>
      <c r="C161" t="s">
        <v>100</v>
      </c>
    </row>
    <row r="162" spans="1:3" x14ac:dyDescent="0.35">
      <c r="A162" s="42"/>
      <c r="C162" t="s">
        <v>101</v>
      </c>
    </row>
    <row r="163" spans="1:3" x14ac:dyDescent="0.35">
      <c r="A163" s="42"/>
    </row>
    <row r="164" spans="1:3" x14ac:dyDescent="0.35">
      <c r="A164" s="42"/>
    </row>
    <row r="165" spans="1:3" x14ac:dyDescent="0.35">
      <c r="A165" s="42"/>
    </row>
    <row r="166" spans="1:3" x14ac:dyDescent="0.35">
      <c r="A166" s="42"/>
    </row>
    <row r="167" spans="1:3" x14ac:dyDescent="0.35">
      <c r="A167" s="42"/>
    </row>
    <row r="168" spans="1:3" x14ac:dyDescent="0.35">
      <c r="A168" s="42"/>
    </row>
    <row r="169" spans="1:3" x14ac:dyDescent="0.35">
      <c r="A169" s="42"/>
    </row>
    <row r="170" spans="1:3" x14ac:dyDescent="0.35">
      <c r="A170" s="42"/>
    </row>
    <row r="171" spans="1:3" x14ac:dyDescent="0.35">
      <c r="A171" s="42"/>
    </row>
    <row r="172" spans="1:3" x14ac:dyDescent="0.35">
      <c r="A172" s="42"/>
    </row>
    <row r="173" spans="1:3" x14ac:dyDescent="0.35">
      <c r="A173" s="42"/>
    </row>
    <row r="174" spans="1:3" x14ac:dyDescent="0.35">
      <c r="A174" s="42"/>
    </row>
    <row r="175" spans="1:3" x14ac:dyDescent="0.35">
      <c r="A175" s="42"/>
    </row>
    <row r="176" spans="1:3" x14ac:dyDescent="0.35">
      <c r="A176" s="42"/>
    </row>
    <row r="177" spans="1:1" x14ac:dyDescent="0.35">
      <c r="A177" s="42"/>
    </row>
    <row r="178" spans="1:1" x14ac:dyDescent="0.35">
      <c r="A178" s="42"/>
    </row>
    <row r="179" spans="1:1" x14ac:dyDescent="0.35">
      <c r="A179" s="42"/>
    </row>
    <row r="180" spans="1:1" x14ac:dyDescent="0.35">
      <c r="A180" s="42"/>
    </row>
    <row r="181" spans="1:1" x14ac:dyDescent="0.35">
      <c r="A181" s="42"/>
    </row>
    <row r="182" spans="1:1" x14ac:dyDescent="0.35">
      <c r="A182" s="42"/>
    </row>
    <row r="183" spans="1:1" x14ac:dyDescent="0.35">
      <c r="A183" s="42"/>
    </row>
    <row r="184" spans="1:1" x14ac:dyDescent="0.35">
      <c r="A184" s="42"/>
    </row>
    <row r="185" spans="1:1" x14ac:dyDescent="0.35">
      <c r="A185" s="42"/>
    </row>
    <row r="186" spans="1:1" x14ac:dyDescent="0.35">
      <c r="A186" s="42"/>
    </row>
    <row r="187" spans="1:1" x14ac:dyDescent="0.35">
      <c r="A187" s="42"/>
    </row>
    <row r="188" spans="1:1" x14ac:dyDescent="0.35">
      <c r="A188" s="42"/>
    </row>
    <row r="189" spans="1:1" x14ac:dyDescent="0.35">
      <c r="A189" s="42"/>
    </row>
    <row r="190" spans="1:1" x14ac:dyDescent="0.35">
      <c r="A190" s="42"/>
    </row>
    <row r="191" spans="1:1" x14ac:dyDescent="0.35">
      <c r="A191" s="42"/>
    </row>
    <row r="192" spans="1:1" x14ac:dyDescent="0.35">
      <c r="A192" s="42"/>
    </row>
    <row r="193" spans="1:1" x14ac:dyDescent="0.35">
      <c r="A193" s="42"/>
    </row>
    <row r="194" spans="1:1" x14ac:dyDescent="0.35">
      <c r="A194" s="42"/>
    </row>
    <row r="195" spans="1:1" x14ac:dyDescent="0.35">
      <c r="A195" s="42"/>
    </row>
    <row r="196" spans="1:1" x14ac:dyDescent="0.35">
      <c r="A196" s="42"/>
    </row>
    <row r="197" spans="1:1" x14ac:dyDescent="0.35">
      <c r="A197" s="42"/>
    </row>
    <row r="198" spans="1:1" x14ac:dyDescent="0.35">
      <c r="A198" s="42"/>
    </row>
    <row r="199" spans="1:1" x14ac:dyDescent="0.35">
      <c r="A199" s="42"/>
    </row>
    <row r="200" spans="1:1" x14ac:dyDescent="0.35">
      <c r="A200" s="42"/>
    </row>
    <row r="201" spans="1:1" x14ac:dyDescent="0.35">
      <c r="A201" s="42"/>
    </row>
  </sheetData>
  <mergeCells count="14">
    <mergeCell ref="G16:H16"/>
    <mergeCell ref="D28:E28"/>
    <mergeCell ref="F28:G28"/>
    <mergeCell ref="H28:I28"/>
    <mergeCell ref="F40:G40"/>
    <mergeCell ref="C123:F123"/>
    <mergeCell ref="F54:G54"/>
    <mergeCell ref="I54:J54"/>
    <mergeCell ref="H108:K108"/>
    <mergeCell ref="C108:F108"/>
    <mergeCell ref="H123:K123"/>
    <mergeCell ref="C67:H68"/>
    <mergeCell ref="F74:L74"/>
    <mergeCell ref="F77:L7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jduque</dc:creator>
  <cp:lastModifiedBy>JORGE HUMBERTO DA CRUZ BARROS DE JESUS LUIS</cp:lastModifiedBy>
  <dcterms:created xsi:type="dcterms:W3CDTF">2019-11-24T19:35:30Z</dcterms:created>
  <dcterms:modified xsi:type="dcterms:W3CDTF">2025-10-24T21:24:43Z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756dabd-1ab2-455c-ac5f-fbfcf45fdb51_Enabled">
    <vt:lpwstr>true</vt:lpwstr>
  </property>
  <property fmtid="{D5CDD505-2E9C-101B-9397-08002B2CF9AE}" pid="3" name="MSIP_Label_2756dabd-1ab2-455c-ac5f-fbfcf45fdb51_SetDate">
    <vt:lpwstr>2024-05-10T17:54:02Z</vt:lpwstr>
  </property>
  <property fmtid="{D5CDD505-2E9C-101B-9397-08002B2CF9AE}" pid="4" name="MSIP_Label_2756dabd-1ab2-455c-ac5f-fbfcf45fdb51_Method">
    <vt:lpwstr>Privileged</vt:lpwstr>
  </property>
  <property fmtid="{D5CDD505-2E9C-101B-9397-08002B2CF9AE}" pid="5" name="MSIP_Label_2756dabd-1ab2-455c-ac5f-fbfcf45fdb51_Name">
    <vt:lpwstr>2756dabd-1ab2-455c-ac5f-fbfcf45fdb51</vt:lpwstr>
  </property>
  <property fmtid="{D5CDD505-2E9C-101B-9397-08002B2CF9AE}" pid="6" name="MSIP_Label_2756dabd-1ab2-455c-ac5f-fbfcf45fdb51_SiteId">
    <vt:lpwstr>0f172980-1261-4323-ab7a-c89b472843d7</vt:lpwstr>
  </property>
  <property fmtid="{D5CDD505-2E9C-101B-9397-08002B2CF9AE}" pid="7" name="MSIP_Label_2756dabd-1ab2-455c-ac5f-fbfcf45fdb51_ActionId">
    <vt:lpwstr>a4df3f72-c2e2-4a8a-9b89-24e86657850e</vt:lpwstr>
  </property>
  <property fmtid="{D5CDD505-2E9C-101B-9397-08002B2CF9AE}" pid="8" name="MSIP_Label_2756dabd-1ab2-455c-ac5f-fbfcf45fdb51_ContentBits">
    <vt:lpwstr>0</vt:lpwstr>
  </property>
</Properties>
</file>